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/Users/robertfrancisgunningnicoll/Dropbox/ASP EUROPE/Rankings/1.QSMen2020/20.2021evt52_AzoresQS21/"/>
    </mc:Choice>
  </mc:AlternateContent>
  <xr:revisionPtr revIDLastSave="0" documentId="13_ncr:1_{9D39AA05-5621-5E4A-9014-201F450DA5B4}" xr6:coauthVersionLast="47" xr6:coauthVersionMax="47" xr10:uidLastSave="{00000000-0000-0000-0000-000000000000}"/>
  <bookViews>
    <workbookView xWindow="660" yWindow="3020" windowWidth="27280" windowHeight="14460" xr2:uid="{00000000-000D-0000-FFFF-FFFF00000000}"/>
  </bookViews>
  <sheets>
    <sheet name="Men1-4Star64Format4manheats" sheetId="1" r:id="rId1"/>
    <sheet name="Sheet1" sheetId="2" r:id="rId2"/>
  </sheets>
  <definedNames>
    <definedName name="_xlnm.Print_Area" localSheetId="0">'Men1-4Star64Format4manheats'!$E$1:$X$51</definedName>
    <definedName name="_xlnm.Print_Titles" localSheetId="0">'Men1-4Star64Format4manheats'!$1:$5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17" i="1" l="1"/>
  <c r="L49" i="1"/>
  <c r="AQ10" i="1"/>
  <c r="K49" i="1"/>
  <c r="AP10" i="1"/>
  <c r="L48" i="1"/>
  <c r="AQ9" i="1"/>
  <c r="K48" i="1"/>
  <c r="AP9" i="1"/>
  <c r="W46" i="1"/>
  <c r="V46" i="1"/>
  <c r="U46" i="1"/>
  <c r="T46" i="1"/>
  <c r="Q46" i="1"/>
  <c r="P46" i="1"/>
  <c r="M46" i="1"/>
  <c r="L46" i="1"/>
  <c r="K46" i="1"/>
  <c r="H46" i="1"/>
  <c r="G46" i="1"/>
  <c r="F46" i="1"/>
  <c r="E46" i="1"/>
  <c r="W45" i="1"/>
  <c r="V45" i="1"/>
  <c r="U45" i="1"/>
  <c r="T45" i="1"/>
  <c r="Q45" i="1"/>
  <c r="P45" i="1"/>
  <c r="M45" i="1"/>
  <c r="L45" i="1"/>
  <c r="K45" i="1"/>
  <c r="H45" i="1"/>
  <c r="G45" i="1"/>
  <c r="F45" i="1"/>
  <c r="E45" i="1"/>
  <c r="K43" i="1"/>
  <c r="AQ12" i="1"/>
  <c r="G43" i="1"/>
  <c r="AP12" i="1"/>
  <c r="W41" i="1"/>
  <c r="V41" i="1"/>
  <c r="U41" i="1"/>
  <c r="R41" i="1"/>
  <c r="Q41" i="1"/>
  <c r="P41" i="1"/>
  <c r="M41" i="1"/>
  <c r="L41" i="1"/>
  <c r="K41" i="1"/>
  <c r="H41" i="1"/>
  <c r="G41" i="1"/>
  <c r="F41" i="1"/>
  <c r="E41" i="1"/>
  <c r="W40" i="1"/>
  <c r="V40" i="1"/>
  <c r="U40" i="1"/>
  <c r="R40" i="1"/>
  <c r="Q40" i="1"/>
  <c r="P40" i="1"/>
  <c r="M40" i="1"/>
  <c r="L40" i="1"/>
  <c r="K40" i="1"/>
  <c r="H40" i="1"/>
  <c r="G40" i="1"/>
  <c r="F40" i="1"/>
  <c r="E40" i="1"/>
  <c r="K38" i="1"/>
  <c r="AQ16" i="1"/>
  <c r="G38" i="1"/>
  <c r="AP16" i="1"/>
  <c r="W36" i="1"/>
  <c r="V36" i="1"/>
  <c r="U36" i="1"/>
  <c r="R36" i="1"/>
  <c r="Q36" i="1"/>
  <c r="P36" i="1"/>
  <c r="M36" i="1"/>
  <c r="L36" i="1"/>
  <c r="K36" i="1"/>
  <c r="H36" i="1"/>
  <c r="G36" i="1"/>
  <c r="F36" i="1"/>
  <c r="E36" i="1"/>
  <c r="W35" i="1"/>
  <c r="V35" i="1"/>
  <c r="U35" i="1"/>
  <c r="R35" i="1"/>
  <c r="Q35" i="1"/>
  <c r="P35" i="1"/>
  <c r="M35" i="1"/>
  <c r="L35" i="1"/>
  <c r="K35" i="1"/>
  <c r="H35" i="1"/>
  <c r="G35" i="1"/>
  <c r="F35" i="1"/>
  <c r="E35" i="1"/>
  <c r="W34" i="1"/>
  <c r="V34" i="1"/>
  <c r="U34" i="1"/>
  <c r="R34" i="1"/>
  <c r="Q34" i="1"/>
  <c r="P34" i="1"/>
  <c r="M34" i="1"/>
  <c r="L34" i="1"/>
  <c r="K34" i="1"/>
  <c r="H34" i="1"/>
  <c r="G34" i="1"/>
  <c r="F34" i="1"/>
  <c r="E34" i="1"/>
  <c r="W33" i="1"/>
  <c r="V33" i="1"/>
  <c r="U33" i="1"/>
  <c r="R33" i="1"/>
  <c r="Q33" i="1"/>
  <c r="P33" i="1"/>
  <c r="M33" i="1"/>
  <c r="L33" i="1"/>
  <c r="K33" i="1"/>
  <c r="H33" i="1"/>
  <c r="G33" i="1"/>
  <c r="F33" i="1"/>
  <c r="E33" i="1"/>
  <c r="U31" i="1"/>
  <c r="AQ24" i="1"/>
  <c r="Q31" i="1"/>
  <c r="AP24" i="1"/>
  <c r="K31" i="1"/>
  <c r="AQ20" i="1"/>
  <c r="G31" i="1"/>
  <c r="AP20" i="1"/>
  <c r="U19" i="1"/>
  <c r="AQ40" i="1"/>
  <c r="Q19" i="1"/>
  <c r="AP40" i="1"/>
  <c r="K19" i="1"/>
  <c r="AQ32" i="1"/>
  <c r="G19" i="1"/>
  <c r="AP32" i="1"/>
  <c r="U7" i="1"/>
  <c r="AQ56" i="1"/>
  <c r="Q7" i="1"/>
  <c r="AP56" i="1"/>
  <c r="K7" i="1"/>
  <c r="AQ48" i="1"/>
  <c r="G7" i="1"/>
  <c r="AP48" i="1"/>
  <c r="AP27" i="1"/>
  <c r="AP11" i="1"/>
  <c r="AP31" i="1"/>
  <c r="AP15" i="1"/>
  <c r="AP43" i="1"/>
  <c r="AP19" i="1"/>
  <c r="AP47" i="1"/>
  <c r="AP35" i="1"/>
  <c r="AP51" i="1"/>
  <c r="AP13" i="1"/>
  <c r="AP17" i="1"/>
  <c r="AP21" i="1"/>
  <c r="AP25" i="1"/>
  <c r="AP29" i="1"/>
  <c r="AP33" i="1"/>
  <c r="AP37" i="1"/>
  <c r="AP41" i="1"/>
  <c r="AP45" i="1"/>
  <c r="AP49" i="1"/>
  <c r="AP53" i="1"/>
  <c r="AP23" i="1"/>
  <c r="AP39" i="1"/>
  <c r="AP55" i="1"/>
  <c r="AP14" i="1"/>
  <c r="AP18" i="1"/>
  <c r="AP22" i="1"/>
  <c r="AP26" i="1"/>
  <c r="AP30" i="1"/>
  <c r="AP34" i="1"/>
  <c r="AP38" i="1"/>
  <c r="AP42" i="1"/>
  <c r="AP46" i="1"/>
  <c r="AP50" i="1"/>
  <c r="AP54" i="1"/>
  <c r="AP28" i="1"/>
  <c r="AP36" i="1"/>
  <c r="AP44" i="1"/>
  <c r="AP52" i="1"/>
  <c r="AQ11" i="1"/>
  <c r="AQ13" i="1"/>
  <c r="AQ15" i="1"/>
  <c r="AQ17" i="1"/>
  <c r="AQ19" i="1"/>
  <c r="AQ21" i="1"/>
  <c r="AQ23" i="1"/>
  <c r="AQ25" i="1"/>
  <c r="AQ27" i="1"/>
  <c r="AQ29" i="1"/>
  <c r="AQ31" i="1"/>
  <c r="AQ33" i="1"/>
  <c r="AQ35" i="1"/>
  <c r="AQ37" i="1"/>
  <c r="AQ39" i="1"/>
  <c r="AQ41" i="1"/>
  <c r="AQ43" i="1"/>
  <c r="AQ45" i="1"/>
  <c r="AQ47" i="1"/>
  <c r="AQ49" i="1"/>
  <c r="AQ51" i="1"/>
  <c r="AQ53" i="1"/>
  <c r="AQ55" i="1"/>
  <c r="AQ14" i="1"/>
  <c r="AQ18" i="1"/>
  <c r="AQ22" i="1"/>
  <c r="AQ26" i="1"/>
  <c r="AQ28" i="1"/>
  <c r="AQ30" i="1"/>
  <c r="AQ34" i="1"/>
  <c r="AQ36" i="1"/>
  <c r="AQ38" i="1"/>
  <c r="AQ42" i="1"/>
  <c r="AQ44" i="1"/>
  <c r="AQ46" i="1"/>
  <c r="AQ50" i="1"/>
  <c r="AQ52" i="1"/>
  <c r="AQ54" i="1"/>
  <c r="H16" i="1"/>
  <c r="W29" i="1"/>
  <c r="W28" i="1"/>
  <c r="R29" i="1"/>
  <c r="R28" i="1"/>
  <c r="M29" i="1"/>
  <c r="M28" i="1"/>
  <c r="H29" i="1"/>
  <c r="H28" i="1"/>
  <c r="W24" i="1"/>
  <c r="W23" i="1"/>
  <c r="R24" i="1"/>
  <c r="R23" i="1"/>
  <c r="M24" i="1"/>
  <c r="M23" i="1"/>
  <c r="H24" i="1"/>
  <c r="H23" i="1"/>
  <c r="G23" i="1"/>
  <c r="AL56" i="1"/>
  <c r="AL9" i="1"/>
  <c r="AN56" i="1"/>
  <c r="AM56" i="1"/>
  <c r="AK56" i="1"/>
  <c r="AN55" i="1"/>
  <c r="AM55" i="1"/>
  <c r="AL55" i="1"/>
  <c r="AK55" i="1"/>
  <c r="AN54" i="1"/>
  <c r="AM54" i="1"/>
  <c r="AL54" i="1"/>
  <c r="AK54" i="1"/>
  <c r="AN53" i="1"/>
  <c r="AM53" i="1"/>
  <c r="AL53" i="1"/>
  <c r="AK53" i="1"/>
  <c r="AN52" i="1"/>
  <c r="AM52" i="1"/>
  <c r="AL52" i="1"/>
  <c r="AK52" i="1"/>
  <c r="AN51" i="1"/>
  <c r="AM51" i="1"/>
  <c r="AL51" i="1"/>
  <c r="AK51" i="1"/>
  <c r="AN50" i="1"/>
  <c r="AM50" i="1"/>
  <c r="AL50" i="1"/>
  <c r="AK50" i="1"/>
  <c r="AN49" i="1"/>
  <c r="AM49" i="1"/>
  <c r="AL49" i="1"/>
  <c r="AK49" i="1"/>
  <c r="AN48" i="1"/>
  <c r="AM48" i="1"/>
  <c r="AL48" i="1"/>
  <c r="AK48" i="1"/>
  <c r="AN47" i="1"/>
  <c r="AM47" i="1"/>
  <c r="AL47" i="1"/>
  <c r="AK47" i="1"/>
  <c r="AN46" i="1"/>
  <c r="AM46" i="1"/>
  <c r="AL46" i="1"/>
  <c r="AK46" i="1"/>
  <c r="AN45" i="1"/>
  <c r="AM45" i="1"/>
  <c r="AL45" i="1"/>
  <c r="AK45" i="1"/>
  <c r="AN44" i="1"/>
  <c r="AM44" i="1"/>
  <c r="AL44" i="1"/>
  <c r="AK44" i="1"/>
  <c r="AN43" i="1"/>
  <c r="AM43" i="1"/>
  <c r="AL43" i="1"/>
  <c r="AK43" i="1"/>
  <c r="AN42" i="1"/>
  <c r="AM42" i="1"/>
  <c r="AL42" i="1"/>
  <c r="AK42" i="1"/>
  <c r="AN41" i="1"/>
  <c r="AM41" i="1"/>
  <c r="AL41" i="1"/>
  <c r="AK41" i="1"/>
  <c r="AN40" i="1"/>
  <c r="AK40" i="1"/>
  <c r="AN39" i="1"/>
  <c r="AK39" i="1"/>
  <c r="AN38" i="1"/>
  <c r="AK38" i="1"/>
  <c r="AN37" i="1"/>
  <c r="AK37" i="1"/>
  <c r="AN36" i="1"/>
  <c r="AK36" i="1"/>
  <c r="AN35" i="1"/>
  <c r="AK35" i="1"/>
  <c r="AN34" i="1"/>
  <c r="AK34" i="1"/>
  <c r="AN33" i="1"/>
  <c r="AK33" i="1"/>
  <c r="AN32" i="1"/>
  <c r="AM32" i="1"/>
  <c r="AK32" i="1"/>
  <c r="AN31" i="1"/>
  <c r="AK31" i="1"/>
  <c r="AN30" i="1"/>
  <c r="AK30" i="1"/>
  <c r="AN29" i="1"/>
  <c r="AK29" i="1"/>
  <c r="AN28" i="1"/>
  <c r="AK28" i="1"/>
  <c r="AN27" i="1"/>
  <c r="AK27" i="1"/>
  <c r="AN26" i="1"/>
  <c r="AK26" i="1"/>
  <c r="AN25" i="1"/>
  <c r="AK25" i="1"/>
  <c r="AN24" i="1"/>
  <c r="AM24" i="1"/>
  <c r="AL24" i="1"/>
  <c r="AK24" i="1"/>
  <c r="AN23" i="1"/>
  <c r="AM23" i="1"/>
  <c r="AL23" i="1"/>
  <c r="AK23" i="1"/>
  <c r="AN22" i="1"/>
  <c r="AM22" i="1"/>
  <c r="AL22" i="1"/>
  <c r="AK22" i="1"/>
  <c r="AN21" i="1"/>
  <c r="AM21" i="1"/>
  <c r="AL21" i="1"/>
  <c r="AK21" i="1"/>
  <c r="AN20" i="1"/>
  <c r="AM20" i="1"/>
  <c r="AL20" i="1"/>
  <c r="AK20" i="1"/>
  <c r="AN19" i="1"/>
  <c r="AM19" i="1"/>
  <c r="AL19" i="1"/>
  <c r="AK19" i="1"/>
  <c r="AN18" i="1"/>
  <c r="AM18" i="1"/>
  <c r="AL18" i="1"/>
  <c r="AK18" i="1"/>
  <c r="AN17" i="1"/>
  <c r="AM17" i="1"/>
  <c r="AL17" i="1"/>
  <c r="AK17" i="1"/>
  <c r="AN16" i="1"/>
  <c r="AM16" i="1"/>
  <c r="AL16" i="1"/>
  <c r="AK16" i="1"/>
  <c r="AN15" i="1"/>
  <c r="AM15" i="1"/>
  <c r="AL15" i="1"/>
  <c r="AK15" i="1"/>
  <c r="AN14" i="1"/>
  <c r="AM14" i="1"/>
  <c r="AL14" i="1"/>
  <c r="AK14" i="1"/>
  <c r="AN13" i="1"/>
  <c r="AM13" i="1"/>
  <c r="AL13" i="1"/>
  <c r="AK13" i="1"/>
  <c r="AN12" i="1"/>
  <c r="AM12" i="1"/>
  <c r="AL12" i="1"/>
  <c r="AK12" i="1"/>
  <c r="AN11" i="1"/>
  <c r="AM11" i="1"/>
  <c r="AL11" i="1"/>
  <c r="AK11" i="1"/>
  <c r="AN10" i="1"/>
  <c r="AM10" i="1"/>
  <c r="AL10" i="1"/>
  <c r="AK10" i="1"/>
  <c r="AN9" i="1"/>
  <c r="AM9" i="1"/>
  <c r="AK9" i="1"/>
  <c r="AK1" i="1"/>
  <c r="K5" i="1"/>
  <c r="K4" i="1"/>
  <c r="K2" i="1"/>
  <c r="R17" i="1"/>
  <c r="R16" i="1"/>
  <c r="R15" i="1"/>
  <c r="R14" i="1"/>
  <c r="R12" i="1"/>
  <c r="R11" i="1"/>
  <c r="R10" i="1"/>
  <c r="R9" i="1"/>
  <c r="M17" i="1"/>
  <c r="M16" i="1"/>
  <c r="M15" i="1"/>
  <c r="M14" i="1"/>
  <c r="M12" i="1"/>
  <c r="M11" i="1"/>
  <c r="M10" i="1"/>
  <c r="M9" i="1"/>
  <c r="H17" i="1"/>
  <c r="H15" i="1"/>
  <c r="H14" i="1"/>
  <c r="H12" i="1"/>
  <c r="H11" i="1"/>
  <c r="H10" i="1"/>
  <c r="H9" i="1"/>
  <c r="W17" i="1"/>
  <c r="W16" i="1"/>
  <c r="W15" i="1"/>
  <c r="W14" i="1"/>
  <c r="W12" i="1"/>
  <c r="W11" i="1"/>
  <c r="W10" i="1"/>
  <c r="W9" i="1"/>
  <c r="G16" i="1"/>
  <c r="F16" i="1"/>
  <c r="H22" i="1"/>
  <c r="H21" i="1"/>
  <c r="H27" i="1"/>
  <c r="H26" i="1"/>
  <c r="M27" i="1"/>
  <c r="M26" i="1"/>
  <c r="M22" i="1"/>
  <c r="M21" i="1"/>
  <c r="R22" i="1"/>
  <c r="R21" i="1"/>
  <c r="R27" i="1"/>
  <c r="R26" i="1"/>
  <c r="W27" i="1"/>
  <c r="W26" i="1"/>
  <c r="W22" i="1"/>
  <c r="W21" i="1"/>
  <c r="E29" i="1"/>
  <c r="E28" i="1"/>
  <c r="E27" i="1"/>
  <c r="E26" i="1"/>
  <c r="E24" i="1"/>
  <c r="E23" i="1"/>
  <c r="E22" i="1"/>
  <c r="E21" i="1"/>
  <c r="E17" i="1"/>
  <c r="E16" i="1"/>
  <c r="E15" i="1"/>
  <c r="E14" i="1"/>
  <c r="E12" i="1"/>
  <c r="E11" i="1"/>
  <c r="E10" i="1"/>
  <c r="E9" i="1"/>
  <c r="U29" i="1"/>
  <c r="AL33" i="1"/>
  <c r="P29" i="1"/>
  <c r="AL34" i="1"/>
  <c r="K29" i="1"/>
  <c r="AL35" i="1"/>
  <c r="F29" i="1"/>
  <c r="AL36" i="1"/>
  <c r="U24" i="1"/>
  <c r="AL37" i="1"/>
  <c r="P24" i="1"/>
  <c r="AL38" i="1"/>
  <c r="K24" i="1"/>
  <c r="AL39" i="1"/>
  <c r="F24" i="1"/>
  <c r="AL40" i="1"/>
  <c r="U23" i="1"/>
  <c r="AL29" i="1"/>
  <c r="P23" i="1"/>
  <c r="AL30" i="1"/>
  <c r="K23" i="1"/>
  <c r="AL31" i="1"/>
  <c r="F23" i="1"/>
  <c r="AL32" i="1"/>
  <c r="L29" i="1"/>
  <c r="AM35" i="1"/>
  <c r="V29" i="1"/>
  <c r="AM33" i="1"/>
  <c r="V24" i="1"/>
  <c r="AM37" i="1"/>
  <c r="L24" i="1"/>
  <c r="AM39" i="1"/>
  <c r="G29" i="1"/>
  <c r="AM36" i="1"/>
  <c r="Q29" i="1"/>
  <c r="AM34" i="1"/>
  <c r="Q24" i="1"/>
  <c r="AM38" i="1"/>
  <c r="G24" i="1"/>
  <c r="AM40" i="1"/>
  <c r="U28" i="1"/>
  <c r="AL25" i="1"/>
  <c r="P28" i="1"/>
  <c r="AL26" i="1"/>
  <c r="K28" i="1"/>
  <c r="AL27" i="1"/>
  <c r="F28" i="1"/>
  <c r="AL28" i="1"/>
  <c r="V23" i="1"/>
  <c r="AM29" i="1"/>
  <c r="Q23" i="1"/>
  <c r="AM30" i="1"/>
  <c r="L23" i="1"/>
  <c r="AM31" i="1"/>
  <c r="G28" i="1"/>
  <c r="AM28" i="1"/>
  <c r="L28" i="1"/>
  <c r="AM27" i="1"/>
  <c r="Q28" i="1"/>
  <c r="AM26" i="1"/>
  <c r="V28" i="1"/>
  <c r="AM25" i="1"/>
  <c r="G12" i="1"/>
  <c r="F12" i="1"/>
  <c r="G17" i="1"/>
  <c r="F17" i="1"/>
  <c r="V17" i="1"/>
  <c r="V12" i="1"/>
  <c r="U12" i="1"/>
  <c r="Q12" i="1"/>
  <c r="P12" i="1"/>
  <c r="Q17" i="1"/>
  <c r="P17" i="1"/>
  <c r="L17" i="1"/>
  <c r="K17" i="1"/>
  <c r="L12" i="1"/>
  <c r="K12" i="1"/>
  <c r="L11" i="1"/>
  <c r="K11" i="1"/>
  <c r="L16" i="1"/>
  <c r="K16" i="1"/>
  <c r="Q16" i="1"/>
  <c r="P16" i="1"/>
  <c r="Q11" i="1"/>
  <c r="P11" i="1"/>
  <c r="V11" i="1"/>
  <c r="U11" i="1"/>
  <c r="V16" i="1"/>
  <c r="U16" i="1"/>
  <c r="G11" i="1"/>
  <c r="F11" i="1"/>
  <c r="G10" i="1"/>
  <c r="F10" i="1"/>
  <c r="G15" i="1"/>
  <c r="F15" i="1"/>
  <c r="V15" i="1"/>
  <c r="U15" i="1"/>
  <c r="V10" i="1"/>
  <c r="U10" i="1"/>
  <c r="Q10" i="1"/>
  <c r="P10" i="1"/>
  <c r="Q15" i="1"/>
  <c r="P15" i="1"/>
  <c r="L15" i="1"/>
  <c r="K15" i="1"/>
  <c r="L10" i="1"/>
  <c r="K10" i="1"/>
  <c r="L9" i="1"/>
  <c r="K9" i="1"/>
  <c r="L14" i="1"/>
  <c r="K14" i="1"/>
  <c r="Q14" i="1"/>
  <c r="P14" i="1"/>
  <c r="Q9" i="1"/>
  <c r="P9" i="1"/>
  <c r="V9" i="1"/>
  <c r="U9" i="1"/>
  <c r="G14" i="1"/>
  <c r="F14" i="1"/>
  <c r="G22" i="1"/>
  <c r="F22" i="1"/>
  <c r="G27" i="1"/>
  <c r="F27" i="1"/>
  <c r="V27" i="1"/>
  <c r="U27" i="1"/>
  <c r="V22" i="1"/>
  <c r="U22" i="1"/>
  <c r="Q22" i="1"/>
  <c r="P22" i="1"/>
  <c r="Q27" i="1"/>
  <c r="P27" i="1"/>
  <c r="L27" i="1"/>
  <c r="K27" i="1"/>
  <c r="L22" i="1"/>
  <c r="K22" i="1"/>
  <c r="L21" i="1"/>
  <c r="K21" i="1"/>
  <c r="L26" i="1"/>
  <c r="K26" i="1"/>
  <c r="Q26" i="1"/>
  <c r="P26" i="1"/>
  <c r="Q21" i="1"/>
  <c r="P21" i="1"/>
  <c r="V21" i="1"/>
  <c r="U21" i="1"/>
  <c r="V26" i="1"/>
  <c r="U26" i="1"/>
  <c r="G26" i="1"/>
  <c r="F26" i="1"/>
  <c r="G21" i="1"/>
  <c r="F21" i="1"/>
  <c r="V14" i="1"/>
  <c r="U14" i="1"/>
  <c r="G9" i="1"/>
  <c r="F9" i="1"/>
</calcChain>
</file>

<file path=xl/sharedStrings.xml><?xml version="1.0" encoding="utf-8"?>
<sst xmlns="http://schemas.openxmlformats.org/spreadsheetml/2006/main" count="375" uniqueCount="188">
  <si>
    <t>ENTER DETAILS IN CELLS C2-9 BELOW</t>
  </si>
  <si>
    <t>Event Name &gt;</t>
  </si>
  <si>
    <t>Event Site &gt;</t>
  </si>
  <si>
    <t>Event Dates &gt;</t>
  </si>
  <si>
    <t>Colour Order #1&gt;</t>
  </si>
  <si>
    <t>Red</t>
  </si>
  <si>
    <t>pts</t>
  </si>
  <si>
    <t>Colour Order #2&gt;</t>
  </si>
  <si>
    <t>White</t>
  </si>
  <si>
    <t>R1H1</t>
  </si>
  <si>
    <t>R1H2</t>
  </si>
  <si>
    <t>R1H3</t>
  </si>
  <si>
    <t>R1H4</t>
  </si>
  <si>
    <t>Evt</t>
  </si>
  <si>
    <t>Colour Order #3&gt;</t>
  </si>
  <si>
    <t>Sd</t>
  </si>
  <si>
    <t>Colour Order #4&gt;</t>
  </si>
  <si>
    <t>No#</t>
  </si>
  <si>
    <t>Seed Order Below</t>
  </si>
  <si>
    <t>R1H5</t>
  </si>
  <si>
    <t>R1H6</t>
  </si>
  <si>
    <t>R1H7</t>
  </si>
  <si>
    <t>R1H8</t>
  </si>
  <si>
    <t>3rd=33rd place</t>
  </si>
  <si>
    <t>QUARTER FINALS</t>
  </si>
  <si>
    <t>3rd=9th place</t>
  </si>
  <si>
    <t>4th=13th place</t>
  </si>
  <si>
    <t>QUARTER 1</t>
  </si>
  <si>
    <t>QUARTER 2</t>
  </si>
  <si>
    <t>QUARTER 3</t>
  </si>
  <si>
    <t>QUARTER 4</t>
  </si>
  <si>
    <t>SEMI-FINALS</t>
  </si>
  <si>
    <t>SEMI 1</t>
  </si>
  <si>
    <t>SEMI 2</t>
  </si>
  <si>
    <t>FINAL</t>
  </si>
  <si>
    <t>1st</t>
  </si>
  <si>
    <t>2nd</t>
  </si>
  <si>
    <t>3rd=17th place</t>
  </si>
  <si>
    <t>4th=25th place</t>
  </si>
  <si>
    <t>H1</t>
  </si>
  <si>
    <t>H2</t>
  </si>
  <si>
    <t>H3</t>
  </si>
  <si>
    <t>H4</t>
  </si>
  <si>
    <t>H5</t>
  </si>
  <si>
    <t>H6</t>
  </si>
  <si>
    <t>H7</t>
  </si>
  <si>
    <t>H8</t>
  </si>
  <si>
    <t xml:space="preserve">ROUND 48 (1st,2nd to Round 32) </t>
  </si>
  <si>
    <t>4th=41st</t>
  </si>
  <si>
    <t>2nd=5th place</t>
  </si>
  <si>
    <t>2nd=3rd place</t>
  </si>
  <si>
    <t>ROUND of 16(1st,2nd to Quarter-Finals)</t>
  </si>
  <si>
    <t xml:space="preserve">ROUND of 32 (1st,2nd to Round of 16) </t>
  </si>
  <si>
    <t>ID#</t>
  </si>
  <si>
    <t>WORLD SURF LEAGUE</t>
  </si>
  <si>
    <t>Evt#</t>
  </si>
  <si>
    <t>QS</t>
  </si>
  <si>
    <t>Enter $ amount below in C2</t>
  </si>
  <si>
    <t>Blue</t>
  </si>
  <si>
    <t>Green</t>
  </si>
  <si>
    <t>evt</t>
  </si>
  <si>
    <t>EventNo</t>
  </si>
  <si>
    <t>Name</t>
  </si>
  <si>
    <t>Nation</t>
  </si>
  <si>
    <t>MemberID</t>
  </si>
  <si>
    <t>Rank</t>
  </si>
  <si>
    <t>Points</t>
  </si>
  <si>
    <t>Prize</t>
  </si>
  <si>
    <t xml:space="preserve">Ribeiro,Alex </t>
  </si>
  <si>
    <t>BRA</t>
  </si>
  <si>
    <t xml:space="preserve">Pupo,Miguel </t>
  </si>
  <si>
    <t>Couzinet,Jorgann</t>
  </si>
  <si>
    <t>FRA</t>
  </si>
  <si>
    <t>Banting,Matt</t>
  </si>
  <si>
    <t>AUS</t>
  </si>
  <si>
    <t>Marshall,Jake</t>
  </si>
  <si>
    <t>USA</t>
  </si>
  <si>
    <t>O'Brien,Liam</t>
  </si>
  <si>
    <t>O'Leary,Connor</t>
  </si>
  <si>
    <t>Robinson,Jack</t>
  </si>
  <si>
    <t>Munoz,Carlos</t>
  </si>
  <si>
    <t>CRI</t>
  </si>
  <si>
    <t xml:space="preserve">Young,Nat </t>
  </si>
  <si>
    <t xml:space="preserve">Geiselman,Evan </t>
  </si>
  <si>
    <t>Martin,Charles</t>
  </si>
  <si>
    <t>Lawler,Jordan</t>
  </si>
  <si>
    <t xml:space="preserve">Gouveia,Ian </t>
  </si>
  <si>
    <t>McGillivray,Matthew</t>
  </si>
  <si>
    <t>ZAF</t>
  </si>
  <si>
    <t>Huscenot,Maxime</t>
  </si>
  <si>
    <t>Bisso,Timothee</t>
  </si>
  <si>
    <t>Kymerson,Krystian</t>
  </si>
  <si>
    <t>Richards,Cam</t>
  </si>
  <si>
    <t>Morais,Frederico</t>
  </si>
  <si>
    <t>PRT</t>
  </si>
  <si>
    <t>Delahaye,Gatien</t>
  </si>
  <si>
    <t>Ohhara,Hiroto</t>
  </si>
  <si>
    <t>JPN</t>
  </si>
  <si>
    <t>Felipe,Luel</t>
  </si>
  <si>
    <t>Tudela,Miguel</t>
  </si>
  <si>
    <t>PER</t>
  </si>
  <si>
    <t xml:space="preserve">De Vries,Beyrick </t>
  </si>
  <si>
    <t xml:space="preserve">Hermes,Tomas </t>
  </si>
  <si>
    <t>Ball,Kalani</t>
  </si>
  <si>
    <t>Correa,Alonso</t>
  </si>
  <si>
    <t xml:space="preserve">Dantas,Wiggolly </t>
  </si>
  <si>
    <t>Heazlewood,Reef</t>
  </si>
  <si>
    <t>Dantas,Weslley</t>
  </si>
  <si>
    <t>Correia,Jacome</t>
  </si>
  <si>
    <t>Kennedy,Stu</t>
  </si>
  <si>
    <t xml:space="preserve">Nakagima,Flavio </t>
  </si>
  <si>
    <t>Houshmand,Cole</t>
  </si>
  <si>
    <t>Rapoza,Nolan</t>
  </si>
  <si>
    <t>Braye,Mihimana</t>
  </si>
  <si>
    <t>Gentil,Ian</t>
  </si>
  <si>
    <t>HAW</t>
  </si>
  <si>
    <t>Masencamp,Adin</t>
  </si>
  <si>
    <t xml:space="preserve">Aranburu,Aritz </t>
  </si>
  <si>
    <t>ESP</t>
  </si>
  <si>
    <t xml:space="preserve">Bowen,Dean </t>
  </si>
  <si>
    <t>Romero,Vicente</t>
  </si>
  <si>
    <t>Lightfoot,Dylan</t>
  </si>
  <si>
    <t>Boukhiam,Ramzi</t>
  </si>
  <si>
    <t>MAR</t>
  </si>
  <si>
    <t>Mignot,Marco</t>
  </si>
  <si>
    <t xml:space="preserve">Muniz,Alejo </t>
  </si>
  <si>
    <t>Silveira,Lucas</t>
  </si>
  <si>
    <t>Healion,Peter</t>
  </si>
  <si>
    <t>Prize Money Total &gt;</t>
  </si>
  <si>
    <t>Azores Airlines Pro</t>
  </si>
  <si>
    <t>Praia Santa Barbara, Sao Miguel -Azores</t>
  </si>
  <si>
    <t>1-6 November, 2021</t>
  </si>
  <si>
    <t>QS3,000 Event</t>
  </si>
  <si>
    <t>Canales Bilbao,Leticia</t>
  </si>
  <si>
    <t>Ado,Pauline</t>
  </si>
  <si>
    <t>Fierro,Vahine</t>
  </si>
  <si>
    <t>Le Car,Maud</t>
  </si>
  <si>
    <t>Bonvalot,Teresa</t>
  </si>
  <si>
    <t>Sanchez Ortun,Garazi</t>
  </si>
  <si>
    <t>EUK</t>
  </si>
  <si>
    <t>Hooft,Eveline</t>
  </si>
  <si>
    <t>NLD</t>
  </si>
  <si>
    <t>Presti,Rachel</t>
  </si>
  <si>
    <t>DEU</t>
  </si>
  <si>
    <t>Hopkins,Yolanda</t>
  </si>
  <si>
    <t>Ochoa,Ariane</t>
  </si>
  <si>
    <t>Mendes,Carolina</t>
  </si>
  <si>
    <t>Thyssen,Tessa</t>
  </si>
  <si>
    <t>Erostarbe,Nadia</t>
  </si>
  <si>
    <t>Lopes,Mafalda</t>
  </si>
  <si>
    <t>Gonzalez Etxabarri,Janire</t>
  </si>
  <si>
    <t>Veselko,Francisca</t>
  </si>
  <si>
    <t>Kemp,Camilla</t>
  </si>
  <si>
    <t>Vaast,Aelan</t>
  </si>
  <si>
    <t>Lacome,Juliette</t>
  </si>
  <si>
    <t>Martino,Lucia</t>
  </si>
  <si>
    <t>Machado,Lucia</t>
  </si>
  <si>
    <t>Campbell,Lucy</t>
  </si>
  <si>
    <t>GBR</t>
  </si>
  <si>
    <t>Magnien,Jade</t>
  </si>
  <si>
    <t>Gonzalez Etxabarri,Annette</t>
  </si>
  <si>
    <t>Fragoso,Leonor</t>
  </si>
  <si>
    <t>Conradi,Hina-Maria</t>
  </si>
  <si>
    <t>Frediani,Bahia</t>
  </si>
  <si>
    <t>Jouault,Maelys</t>
  </si>
  <si>
    <t>Barton,Alys</t>
  </si>
  <si>
    <t>Beato,Mikele</t>
  </si>
  <si>
    <t>Lelior,Noa</t>
  </si>
  <si>
    <t>ISR</t>
  </si>
  <si>
    <t>Sanchez,Violeta</t>
  </si>
  <si>
    <t>Rosenbaum,Rheanna</t>
  </si>
  <si>
    <t>BEL</t>
  </si>
  <si>
    <t>Leiceaga,Ainhoa</t>
  </si>
  <si>
    <t>Zeitler,Janina</t>
  </si>
  <si>
    <t>Dinis,Gabriela</t>
  </si>
  <si>
    <t>Milhau,Nahia</t>
  </si>
  <si>
    <t>Leiceaga,Sarah</t>
  </si>
  <si>
    <t>Gussoni,Emily</t>
  </si>
  <si>
    <t>ITA</t>
  </si>
  <si>
    <t>Cardoso,Camila</t>
  </si>
  <si>
    <t>Hoffmann,Eva</t>
  </si>
  <si>
    <t>Dupont,Justine</t>
  </si>
  <si>
    <t>Blanchard,Anais</t>
  </si>
  <si>
    <t>Fierro,Heimiti</t>
  </si>
  <si>
    <t>PYF</t>
  </si>
  <si>
    <t>Sampiere,Elle</t>
  </si>
  <si>
    <t>Cantero,Ana</t>
  </si>
  <si>
    <t>Moniz,Helena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</si>
</sst>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#,##0_);\(&quot;$&quot;#,##0\)"/>
    <numFmt numFmtId="164" formatCode="&quot;$&quot;#,##0"/>
  </numFmts>
  <fonts count="6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Helvetica Neue"/>
      <family val="2"/>
    </font>
    <font>
      <sz val="9"/>
      <color rgb="FFFF0000"/>
      <name val="Genev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5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164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quotePrefix="1" applyFont="1" applyAlignment="1">
      <alignment horizontal="left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1" fontId="5" fillId="0" borderId="0" xfId="0" applyNumberFormat="1" applyFont="1"/>
    <xf numFmtId="1" fontId="5" fillId="0" borderId="0" xfId="0" applyNumberFormat="1" applyFont="1" applyAlignment="1">
      <alignment horizontal="left"/>
    </xf>
    <xf numFmtId="0" fontId="5" fillId="0" borderId="0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5" fontId="1" fillId="0" borderId="0" xfId="0" applyNumberFormat="1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304800</xdr:colOff>
      <xdr:row>0</xdr:row>
      <xdr:rowOff>40641</xdr:rowOff>
    </xdr:from>
    <xdr:to>
      <xdr:col>20</xdr:col>
      <xdr:colOff>1135380</xdr:colOff>
      <xdr:row>4</xdr:row>
      <xdr:rowOff>152401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8CD97B7-69C7-45AF-86B2-E48094877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40641"/>
          <a:ext cx="830580" cy="772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74"/>
  <sheetViews>
    <sheetView tabSelected="1" topLeftCell="A36" zoomScaleNormal="100" workbookViewId="0">
      <selection activeCell="B56" sqref="B56:D57"/>
    </sheetView>
  </sheetViews>
  <sheetFormatPr baseColWidth="10" defaultColWidth="10.83203125" defaultRowHeight="9.75" customHeight="1" x14ac:dyDescent="0.15"/>
  <cols>
    <col min="1" max="1" width="13" style="1" customWidth="1"/>
    <col min="2" max="2" width="20.5" style="1" customWidth="1"/>
    <col min="3" max="3" width="8.5" style="1" customWidth="1"/>
    <col min="4" max="4" width="6.5" style="1" customWidth="1"/>
    <col min="5" max="5" width="5.1640625" style="5" customWidth="1"/>
    <col min="6" max="6" width="15.5" style="2" bestFit="1" customWidth="1"/>
    <col min="7" max="7" width="4" style="2" customWidth="1"/>
    <col min="8" max="8" width="4.83203125" style="2" hidden="1" customWidth="1"/>
    <col min="9" max="9" width="3" style="2" customWidth="1"/>
    <col min="10" max="10" width="2.83203125" style="2" customWidth="1"/>
    <col min="11" max="11" width="16.33203125" style="2" bestFit="1" customWidth="1"/>
    <col min="12" max="12" width="6.33203125" style="2" customWidth="1"/>
    <col min="13" max="13" width="4" style="2" hidden="1" customWidth="1"/>
    <col min="14" max="14" width="2.83203125" style="2" customWidth="1"/>
    <col min="15" max="15" width="1.83203125" style="2" customWidth="1"/>
    <col min="16" max="16" width="15.5" style="2" customWidth="1"/>
    <col min="17" max="17" width="4.1640625" style="2" customWidth="1"/>
    <col min="18" max="18" width="4.33203125" style="2" hidden="1" customWidth="1"/>
    <col min="19" max="19" width="2.6640625" style="2" customWidth="1"/>
    <col min="20" max="20" width="2.83203125" style="2" customWidth="1"/>
    <col min="21" max="21" width="15.83203125" style="2" customWidth="1"/>
    <col min="22" max="22" width="5" style="2" customWidth="1"/>
    <col min="23" max="23" width="4" style="2" hidden="1" customWidth="1"/>
    <col min="24" max="24" width="2.83203125" style="2" customWidth="1"/>
    <col min="25" max="36" width="10.83203125" style="1"/>
    <col min="37" max="37" width="8.33203125" style="1" customWidth="1"/>
    <col min="38" max="38" width="10.83203125" style="1"/>
    <col min="39" max="39" width="4.83203125" style="1" bestFit="1" customWidth="1"/>
    <col min="40" max="40" width="7.1640625" style="1" bestFit="1" customWidth="1"/>
    <col min="41" max="41" width="3.83203125" style="1" bestFit="1" customWidth="1"/>
    <col min="42" max="42" width="6.6640625" style="1" customWidth="1"/>
    <col min="43" max="43" width="8" style="1" customWidth="1"/>
    <col min="44" max="16384" width="10.83203125" style="1"/>
  </cols>
  <sheetData>
    <row r="1" spans="1:43" ht="13" customHeight="1" x14ac:dyDescent="0.15">
      <c r="B1" s="23" t="s">
        <v>0</v>
      </c>
      <c r="C1" s="1" t="s">
        <v>57</v>
      </c>
      <c r="E1" s="17" t="s">
        <v>56</v>
      </c>
      <c r="F1" s="1"/>
      <c r="K1" s="49" t="s">
        <v>54</v>
      </c>
      <c r="L1" s="49"/>
      <c r="M1" s="49"/>
      <c r="N1" s="49"/>
      <c r="O1" s="49"/>
      <c r="P1" s="49"/>
      <c r="AK1" s="33" t="str">
        <f>$AL$1&amp;$AM$1&amp;$E$4</f>
        <v>2021evt216</v>
      </c>
      <c r="AL1" s="33">
        <v>2021</v>
      </c>
      <c r="AM1" s="33" t="s">
        <v>60</v>
      </c>
    </row>
    <row r="2" spans="1:43" ht="13" customHeight="1" x14ac:dyDescent="0.15">
      <c r="A2" s="2"/>
      <c r="B2" s="24" t="s">
        <v>128</v>
      </c>
      <c r="C2" s="24">
        <v>30000</v>
      </c>
      <c r="D2" s="2"/>
      <c r="E2" s="2">
        <v>3000</v>
      </c>
      <c r="F2" s="1"/>
      <c r="K2" s="50" t="str">
        <f>C3</f>
        <v>Azores Airlines Pro</v>
      </c>
      <c r="L2" s="50"/>
      <c r="M2" s="50"/>
      <c r="N2" s="50"/>
      <c r="O2" s="50"/>
      <c r="P2" s="50"/>
    </row>
    <row r="3" spans="1:43" ht="13" customHeight="1" x14ac:dyDescent="0.15">
      <c r="A3" s="2"/>
      <c r="B3" s="24" t="s">
        <v>1</v>
      </c>
      <c r="C3" s="41" t="s">
        <v>129</v>
      </c>
      <c r="D3" s="2"/>
      <c r="E3" s="2" t="s">
        <v>55</v>
      </c>
      <c r="K3" s="51" t="s">
        <v>132</v>
      </c>
      <c r="L3" s="51"/>
      <c r="M3" s="51"/>
      <c r="N3" s="51"/>
      <c r="O3" s="51"/>
      <c r="P3" s="51"/>
    </row>
    <row r="4" spans="1:43" ht="13" customHeight="1" x14ac:dyDescent="0.15">
      <c r="B4" s="24" t="s">
        <v>2</v>
      </c>
      <c r="C4" s="41" t="s">
        <v>130</v>
      </c>
      <c r="D4" s="2"/>
      <c r="E4" s="2">
        <v>216</v>
      </c>
      <c r="K4" s="50" t="str">
        <f>C4</f>
        <v>Praia Santa Barbara, Sao Miguel -Azores</v>
      </c>
      <c r="L4" s="50"/>
      <c r="M4" s="50"/>
      <c r="N4" s="50"/>
      <c r="O4" s="50"/>
      <c r="P4" s="50"/>
    </row>
    <row r="5" spans="1:43" ht="13" customHeight="1" x14ac:dyDescent="0.15">
      <c r="B5" s="24" t="s">
        <v>3</v>
      </c>
      <c r="C5" s="41" t="s">
        <v>131</v>
      </c>
      <c r="E5" s="2"/>
      <c r="F5" s="3"/>
      <c r="K5" s="50" t="str">
        <f>C5</f>
        <v>1-6 November, 2021</v>
      </c>
      <c r="L5" s="50"/>
      <c r="M5" s="50"/>
      <c r="N5" s="50"/>
      <c r="O5" s="50"/>
      <c r="P5" s="50"/>
    </row>
    <row r="6" spans="1:43" ht="13" customHeight="1" x14ac:dyDescent="0.15">
      <c r="A6" s="2"/>
      <c r="B6" s="24" t="s">
        <v>4</v>
      </c>
      <c r="C6" s="2" t="s">
        <v>5</v>
      </c>
      <c r="E6" s="1" t="s">
        <v>47</v>
      </c>
      <c r="G6" s="1"/>
      <c r="H6" s="1"/>
      <c r="I6" s="1"/>
      <c r="J6" s="1"/>
      <c r="O6" s="1"/>
      <c r="T6" s="1"/>
    </row>
    <row r="7" spans="1:43" ht="13" customHeight="1" x14ac:dyDescent="0.15">
      <c r="A7" s="2"/>
      <c r="B7" s="24" t="s">
        <v>7</v>
      </c>
      <c r="C7" s="2" t="s">
        <v>58</v>
      </c>
      <c r="E7" s="1"/>
      <c r="F7" s="4" t="s">
        <v>23</v>
      </c>
      <c r="G7" s="1">
        <f>IF($E$2=1000,66,IF($E$2=3000,200,IF($E$2=5000,450,"")))</f>
        <v>200</v>
      </c>
      <c r="H7" s="1"/>
      <c r="I7" s="1" t="s">
        <v>6</v>
      </c>
      <c r="J7" s="1"/>
      <c r="K7" s="6">
        <f>IF($C$2=1500,0,IF($C$2=2000,0,IF($C$2=2500,0,IF($C$2=5000,0,IF($C$2=7500,175,IF($C$2=10000,0,IF($C$2=30000,0,IF($C$2=50000,300,""))))))))</f>
        <v>0</v>
      </c>
      <c r="L7" s="40"/>
      <c r="M7" s="40"/>
      <c r="N7" s="1"/>
      <c r="O7" s="5"/>
      <c r="P7" s="4" t="s">
        <v>48</v>
      </c>
      <c r="Q7" s="1">
        <f>IF($E$2=1000,63,IF($E$2=3000,190,IF($E$2=5000,425,"")))</f>
        <v>190</v>
      </c>
      <c r="R7" s="1"/>
      <c r="S7" s="5" t="s">
        <v>6</v>
      </c>
      <c r="T7" s="1"/>
      <c r="U7" s="6">
        <f>IF($C$2=1500,0,IF($C$2=2000,0,IF($C$2=2500,0,IF($C$2=5000,0,IF($C$2=7500,175,IF($C$2=10000,0,IF($C$2=30000,0,IF($C$2=50000,250,""))))))))</f>
        <v>0</v>
      </c>
    </row>
    <row r="8" spans="1:43" ht="13" customHeight="1" x14ac:dyDescent="0.15">
      <c r="A8" s="2" t="s">
        <v>13</v>
      </c>
      <c r="B8" s="24" t="s">
        <v>14</v>
      </c>
      <c r="C8" s="2" t="s">
        <v>8</v>
      </c>
      <c r="F8" s="2" t="s">
        <v>9</v>
      </c>
      <c r="K8" s="2" t="s">
        <v>10</v>
      </c>
      <c r="P8" s="2" t="s">
        <v>11</v>
      </c>
      <c r="U8" s="2" t="s">
        <v>12</v>
      </c>
      <c r="AK8" s="34" t="s">
        <v>61</v>
      </c>
      <c r="AL8" s="34" t="s">
        <v>62</v>
      </c>
      <c r="AM8" s="34" t="s">
        <v>63</v>
      </c>
      <c r="AN8" s="35" t="s">
        <v>64</v>
      </c>
      <c r="AO8" s="35" t="s">
        <v>65</v>
      </c>
      <c r="AP8" s="35" t="s">
        <v>66</v>
      </c>
      <c r="AQ8" s="35" t="s">
        <v>67</v>
      </c>
    </row>
    <row r="9" spans="1:43" ht="13" customHeight="1" x14ac:dyDescent="0.15">
      <c r="A9" s="2" t="s">
        <v>15</v>
      </c>
      <c r="B9" s="24" t="s">
        <v>16</v>
      </c>
      <c r="C9" s="2" t="s">
        <v>59</v>
      </c>
      <c r="E9" s="5" t="str">
        <f>C6</f>
        <v>Red</v>
      </c>
      <c r="F9" s="7" t="str">
        <f>$B27</f>
        <v>Kemp,Camilla</v>
      </c>
      <c r="G9" s="8" t="str">
        <f>$C27</f>
        <v>DEU</v>
      </c>
      <c r="H9" s="26">
        <f>$D27</f>
        <v>6948</v>
      </c>
      <c r="I9" s="9"/>
      <c r="K9" s="7" t="str">
        <f>$B34</f>
        <v>Gonzalez Etxabarri,Annette</v>
      </c>
      <c r="L9" s="8" t="str">
        <f>$C34</f>
        <v>EUK</v>
      </c>
      <c r="M9" s="30">
        <f>$D34</f>
        <v>14432</v>
      </c>
      <c r="N9" s="9"/>
      <c r="P9" s="7" t="str">
        <f>$B31</f>
        <v>Machado,Lucia</v>
      </c>
      <c r="Q9" s="8" t="str">
        <f>$C31</f>
        <v>ESP</v>
      </c>
      <c r="R9" s="26">
        <f>$D31</f>
        <v>11286</v>
      </c>
      <c r="S9" s="9"/>
      <c r="U9" s="7" t="str">
        <f>$B30</f>
        <v>Martino,Lucia</v>
      </c>
      <c r="V9" s="8" t="str">
        <f>$C30</f>
        <v>ESP</v>
      </c>
      <c r="W9" s="8">
        <f>$D30</f>
        <v>1058</v>
      </c>
      <c r="X9" s="9"/>
      <c r="AK9" s="33" t="str">
        <f t="shared" ref="AK9:AK56" si="0">$AL$1&amp;$AM$1&amp;$E$4</f>
        <v>2021evt216</v>
      </c>
      <c r="AL9" s="36">
        <f>IF(X45=1,U45,(IF(X46=1,U46,)))</f>
        <v>0</v>
      </c>
      <c r="AM9" s="36">
        <f>IF(X45=1,V45,(IF(X46=1,V46,)))</f>
        <v>0</v>
      </c>
      <c r="AN9" s="37">
        <f>IF(X45=1,W45,(IF(X46=1,W46,)))</f>
        <v>0</v>
      </c>
      <c r="AO9" s="34">
        <v>1</v>
      </c>
      <c r="AP9" s="34">
        <f>$K$48</f>
        <v>3000</v>
      </c>
      <c r="AQ9" s="42">
        <f>$L$48</f>
        <v>8000</v>
      </c>
    </row>
    <row r="10" spans="1:43" ht="13" customHeight="1" x14ac:dyDescent="0.15">
      <c r="A10" s="2" t="s">
        <v>17</v>
      </c>
      <c r="B10" s="24" t="s">
        <v>18</v>
      </c>
      <c r="D10" s="1" t="s">
        <v>53</v>
      </c>
      <c r="E10" s="5" t="str">
        <f>C7</f>
        <v>Blue</v>
      </c>
      <c r="F10" s="10" t="str">
        <f>$B42</f>
        <v>Sanchez,Violeta</v>
      </c>
      <c r="G10" s="11" t="str">
        <f>$C42</f>
        <v>ESP</v>
      </c>
      <c r="H10" s="27">
        <f>$D42</f>
        <v>9580</v>
      </c>
      <c r="I10" s="12"/>
      <c r="K10" s="10" t="str">
        <f>$B35</f>
        <v>Fragoso,Leonor</v>
      </c>
      <c r="L10" s="11" t="str">
        <f>$C35</f>
        <v>PRT</v>
      </c>
      <c r="M10" s="31">
        <f>$D35</f>
        <v>11575</v>
      </c>
      <c r="N10" s="12"/>
      <c r="P10" s="10" t="str">
        <f>$B38</f>
        <v>Jouault,Maelys</v>
      </c>
      <c r="Q10" s="11" t="str">
        <f>$C38</f>
        <v>FRA</v>
      </c>
      <c r="R10" s="27">
        <f>$D38</f>
        <v>10618</v>
      </c>
      <c r="S10" s="12"/>
      <c r="U10" s="10" t="str">
        <f>$B39</f>
        <v>Barton,Alys</v>
      </c>
      <c r="V10" s="11" t="str">
        <f>$C39</f>
        <v>GBR</v>
      </c>
      <c r="W10" s="11">
        <f>$D39</f>
        <v>11854</v>
      </c>
      <c r="X10" s="12"/>
      <c r="AK10" s="33" t="str">
        <f t="shared" si="0"/>
        <v>2021evt216</v>
      </c>
      <c r="AL10" s="36">
        <f>IF(X45=2,U45,(IF(X46=2,U46,)))</f>
        <v>0</v>
      </c>
      <c r="AM10" s="36">
        <f>IF(X45=2,V45,(IF(X46=2,V46,)))</f>
        <v>0</v>
      </c>
      <c r="AN10" s="37">
        <f>IF(X45=2,W45,(IF(X46=2,W46,)))</f>
        <v>0</v>
      </c>
      <c r="AO10" s="34">
        <v>2</v>
      </c>
      <c r="AP10" s="34">
        <f>$K$49</f>
        <v>2400</v>
      </c>
      <c r="AQ10" s="42">
        <f>$L$49</f>
        <v>4000</v>
      </c>
    </row>
    <row r="11" spans="1:43" ht="13" customHeight="1" x14ac:dyDescent="0.15">
      <c r="A11" s="1">
        <v>1</v>
      </c>
      <c r="B11" s="48" t="s">
        <v>133</v>
      </c>
      <c r="C11" s="19" t="s">
        <v>118</v>
      </c>
      <c r="D11" s="11">
        <v>1028</v>
      </c>
      <c r="E11" s="5" t="str">
        <f>C8</f>
        <v>White</v>
      </c>
      <c r="F11" s="10" t="str">
        <f>$B43</f>
        <v>Rosenbaum,Rheanna</v>
      </c>
      <c r="G11" s="11" t="str">
        <f>$C43</f>
        <v>BEL</v>
      </c>
      <c r="H11" s="27">
        <f>$D43</f>
        <v>12487</v>
      </c>
      <c r="I11" s="12"/>
      <c r="K11" s="10" t="str">
        <f>$B50</f>
        <v>Cardoso,Camila</v>
      </c>
      <c r="L11" s="11" t="str">
        <f>$C50</f>
        <v>PRT</v>
      </c>
      <c r="M11" s="27">
        <f>$D50</f>
        <v>12571</v>
      </c>
      <c r="N11" s="12"/>
      <c r="P11" s="10" t="str">
        <f>$B47</f>
        <v>Milhau,Nahia</v>
      </c>
      <c r="Q11" s="11" t="str">
        <f>$C47</f>
        <v>FRA</v>
      </c>
      <c r="R11" s="27">
        <f>$D47</f>
        <v>10756</v>
      </c>
      <c r="S11" s="12"/>
      <c r="U11" s="10" t="str">
        <f>$B46</f>
        <v>Dinis,Gabriela</v>
      </c>
      <c r="V11" s="11" t="str">
        <f>$C46</f>
        <v>PRT</v>
      </c>
      <c r="W11" s="11">
        <f>$D46</f>
        <v>13427</v>
      </c>
      <c r="X11" s="12"/>
      <c r="AK11" s="33" t="str">
        <f t="shared" si="0"/>
        <v>2021evt216</v>
      </c>
      <c r="AL11" s="36">
        <f>IF(N45=2,K45,(IF(N46=2,K46,)))</f>
        <v>0</v>
      </c>
      <c r="AM11" s="36">
        <f>IF(N45=2,L45,(IF(N46=2,L46,)))</f>
        <v>0</v>
      </c>
      <c r="AN11" s="37">
        <f>IF(N45=2,M45,(IF(N46=2,M46,)))</f>
        <v>0</v>
      </c>
      <c r="AO11" s="34">
        <v>3</v>
      </c>
      <c r="AP11" s="34">
        <f>$G$43</f>
        <v>1950</v>
      </c>
      <c r="AQ11" s="42">
        <f>$K$43</f>
        <v>2000</v>
      </c>
    </row>
    <row r="12" spans="1:43" ht="13" customHeight="1" x14ac:dyDescent="0.15">
      <c r="A12" s="1">
        <v>2</v>
      </c>
      <c r="B12" s="44" t="s">
        <v>134</v>
      </c>
      <c r="C12" s="17" t="s">
        <v>72</v>
      </c>
      <c r="D12" s="43">
        <v>1421</v>
      </c>
      <c r="E12" s="5" t="str">
        <f>C9</f>
        <v>Green</v>
      </c>
      <c r="F12" s="14">
        <f>$B58</f>
        <v>0</v>
      </c>
      <c r="G12" s="15">
        <f>$C58</f>
        <v>0</v>
      </c>
      <c r="H12" s="28">
        <f>$D58</f>
        <v>0</v>
      </c>
      <c r="I12" s="16"/>
      <c r="K12" s="14" t="str">
        <f>$B51</f>
        <v>Hoffmann,Eva</v>
      </c>
      <c r="L12" s="15" t="str">
        <f>$C51</f>
        <v>NLD</v>
      </c>
      <c r="M12" s="28">
        <f>$D51</f>
        <v>14148</v>
      </c>
      <c r="N12" s="16"/>
      <c r="P12" s="14" t="str">
        <f>$B54</f>
        <v>Fierro,Heimiti</v>
      </c>
      <c r="Q12" s="15" t="str">
        <f>$C54</f>
        <v>PYF</v>
      </c>
      <c r="R12" s="28">
        <f>$D54</f>
        <v>11316</v>
      </c>
      <c r="S12" s="16"/>
      <c r="U12" s="14" t="str">
        <f>$B55</f>
        <v>Sampiere,Elle</v>
      </c>
      <c r="V12" s="15" t="str">
        <f>$C55</f>
        <v>USA</v>
      </c>
      <c r="W12" s="15">
        <f>$D55</f>
        <v>9436</v>
      </c>
      <c r="X12" s="16"/>
      <c r="AK12" s="33" t="str">
        <f t="shared" si="0"/>
        <v>2021evt216</v>
      </c>
      <c r="AL12" s="36">
        <f>IF(I45=2,F45,(IF(I46=2,F46,)))</f>
        <v>0</v>
      </c>
      <c r="AM12" s="36">
        <f>IF(I45=2,G45,(IF(I46=2,G46,)))</f>
        <v>0</v>
      </c>
      <c r="AN12" s="37">
        <f>IF(I45=2,H45,(IF(I46=2,H46,)))</f>
        <v>0</v>
      </c>
      <c r="AO12" s="34">
        <v>3</v>
      </c>
      <c r="AP12" s="34">
        <f>$G$43</f>
        <v>1950</v>
      </c>
      <c r="AQ12" s="42">
        <f>$K$43</f>
        <v>2000</v>
      </c>
    </row>
    <row r="13" spans="1:43" ht="13" customHeight="1" x14ac:dyDescent="0.15">
      <c r="A13" s="1">
        <v>3</v>
      </c>
      <c r="B13" s="45" t="s">
        <v>135</v>
      </c>
      <c r="C13" s="43" t="s">
        <v>72</v>
      </c>
      <c r="D13" s="43">
        <v>7371</v>
      </c>
      <c r="F13" s="2" t="s">
        <v>19</v>
      </c>
      <c r="H13" s="29"/>
      <c r="K13" s="2" t="s">
        <v>20</v>
      </c>
      <c r="M13" s="29"/>
      <c r="N13" s="38"/>
      <c r="P13" s="2" t="s">
        <v>21</v>
      </c>
      <c r="R13" s="29"/>
      <c r="S13" s="38"/>
      <c r="U13" s="2" t="s">
        <v>22</v>
      </c>
      <c r="X13" s="38"/>
      <c r="AK13" s="33" t="str">
        <f t="shared" si="0"/>
        <v>2021evt216</v>
      </c>
      <c r="AL13" s="36">
        <f>IF(X40=2,U40,(IF(X41=2,U41,)))</f>
        <v>0</v>
      </c>
      <c r="AM13" s="36">
        <f>IF(X40=2,V40,(IF(X41=2,V41,)))</f>
        <v>0</v>
      </c>
      <c r="AN13" s="37">
        <f>IF(X40=2,W40,(IF(X41=2,W41,)))</f>
        <v>0</v>
      </c>
      <c r="AO13" s="34">
        <v>5</v>
      </c>
      <c r="AP13" s="34">
        <f>$G$38</f>
        <v>1500</v>
      </c>
      <c r="AQ13" s="42">
        <f>$K$38</f>
        <v>1000</v>
      </c>
    </row>
    <row r="14" spans="1:43" ht="13" customHeight="1" x14ac:dyDescent="0.15">
      <c r="A14" s="1">
        <v>4</v>
      </c>
      <c r="B14" s="44" t="s">
        <v>136</v>
      </c>
      <c r="C14" s="17" t="s">
        <v>72</v>
      </c>
      <c r="D14" s="43">
        <v>1136</v>
      </c>
      <c r="E14" s="5" t="str">
        <f>C6</f>
        <v>Red</v>
      </c>
      <c r="F14" s="7" t="str">
        <f>$B28</f>
        <v>Vaast,Aelan</v>
      </c>
      <c r="G14" s="8" t="str">
        <f>$C28</f>
        <v>FRA</v>
      </c>
      <c r="H14" s="26">
        <f>$D28</f>
        <v>12359</v>
      </c>
      <c r="I14" s="9"/>
      <c r="K14" s="7" t="str">
        <f>$B33</f>
        <v>Magnien,Jade</v>
      </c>
      <c r="L14" s="8" t="str">
        <f>$C33</f>
        <v>FRA</v>
      </c>
      <c r="M14" s="26">
        <f>$D33</f>
        <v>10199</v>
      </c>
      <c r="N14" s="9"/>
      <c r="P14" s="7" t="str">
        <f>$B32</f>
        <v>Campbell,Lucy</v>
      </c>
      <c r="Q14" s="8" t="str">
        <f>$C32</f>
        <v>GBR</v>
      </c>
      <c r="R14" s="26">
        <f>$D32</f>
        <v>6795</v>
      </c>
      <c r="S14" s="9"/>
      <c r="U14" s="7" t="str">
        <f>$B29</f>
        <v>Lacome,Juliette</v>
      </c>
      <c r="V14" s="8" t="str">
        <f>$C29</f>
        <v>FRA</v>
      </c>
      <c r="W14" s="8">
        <f>$D29</f>
        <v>10508</v>
      </c>
      <c r="X14" s="9"/>
      <c r="AK14" s="33" t="str">
        <f t="shared" si="0"/>
        <v>2021evt216</v>
      </c>
      <c r="AL14" s="36">
        <f>IF(S40=2,P40,(IF(S41=2,P41,)))</f>
        <v>0</v>
      </c>
      <c r="AM14" s="36">
        <f>IF(S40=2,Q40,(IF(S41=2,Q41,)))</f>
        <v>0</v>
      </c>
      <c r="AN14" s="37">
        <f>IF(S40=2,R40,(IF(S41=2,R41,)))</f>
        <v>0</v>
      </c>
      <c r="AO14" s="34">
        <v>5</v>
      </c>
      <c r="AP14" s="34">
        <f t="shared" ref="AP14:AP16" si="1">$G$38</f>
        <v>1500</v>
      </c>
      <c r="AQ14" s="42">
        <f t="shared" ref="AQ14:AQ16" si="2">$K$38</f>
        <v>1000</v>
      </c>
    </row>
    <row r="15" spans="1:43" ht="13" customHeight="1" x14ac:dyDescent="0.15">
      <c r="A15" s="1">
        <v>5</v>
      </c>
      <c r="B15" s="45" t="s">
        <v>137</v>
      </c>
      <c r="C15" s="43" t="s">
        <v>94</v>
      </c>
      <c r="D15" s="43">
        <v>7582</v>
      </c>
      <c r="E15" s="5" t="str">
        <f>C7</f>
        <v>Blue</v>
      </c>
      <c r="F15" s="10" t="str">
        <f>$B41</f>
        <v>Lelior,Noa</v>
      </c>
      <c r="G15" s="11" t="str">
        <f>$C41</f>
        <v>ISR</v>
      </c>
      <c r="H15" s="27">
        <f>$D41</f>
        <v>8615</v>
      </c>
      <c r="I15" s="12"/>
      <c r="K15" s="10" t="str">
        <f>$B36</f>
        <v>Conradi,Hina-Maria</v>
      </c>
      <c r="L15" s="11" t="str">
        <f>$C36</f>
        <v>FRA</v>
      </c>
      <c r="M15" s="27">
        <f>$D36</f>
        <v>10575</v>
      </c>
      <c r="N15" s="12"/>
      <c r="P15" s="10" t="str">
        <f>$B37</f>
        <v>Frediani,Bahia</v>
      </c>
      <c r="Q15" s="11" t="str">
        <f>$C37</f>
        <v>FRA</v>
      </c>
      <c r="R15" s="27">
        <f>$D37</f>
        <v>11052</v>
      </c>
      <c r="S15" s="12"/>
      <c r="U15" s="10" t="str">
        <f>$B40</f>
        <v>Beato,Mikele</v>
      </c>
      <c r="V15" s="11" t="str">
        <f>$C40</f>
        <v>EUK</v>
      </c>
      <c r="W15" s="11">
        <f>$D40</f>
        <v>10420</v>
      </c>
      <c r="X15" s="12"/>
      <c r="AK15" s="33" t="str">
        <f t="shared" si="0"/>
        <v>2021evt216</v>
      </c>
      <c r="AL15" s="36">
        <f>IF(N40=2,K40,(IF(N41=2,K41,)))</f>
        <v>0</v>
      </c>
      <c r="AM15" s="36">
        <f>IF(N40=2,L40,(IF(N41=2,L41,)))</f>
        <v>0</v>
      </c>
      <c r="AN15" s="37">
        <f>IF(N40=2,M40,(IF(N41=2,M41,)))</f>
        <v>0</v>
      </c>
      <c r="AO15" s="34">
        <v>5</v>
      </c>
      <c r="AP15" s="34">
        <f t="shared" si="1"/>
        <v>1500</v>
      </c>
      <c r="AQ15" s="42">
        <f t="shared" si="2"/>
        <v>1000</v>
      </c>
    </row>
    <row r="16" spans="1:43" ht="13" customHeight="1" x14ac:dyDescent="0.15">
      <c r="A16" s="1">
        <v>6</v>
      </c>
      <c r="B16" s="44" t="s">
        <v>138</v>
      </c>
      <c r="C16" s="17" t="s">
        <v>139</v>
      </c>
      <c r="D16" s="43">
        <v>4312</v>
      </c>
      <c r="E16" s="5" t="str">
        <f>C8</f>
        <v>White</v>
      </c>
      <c r="F16" s="10" t="str">
        <f>$B44</f>
        <v>Leiceaga,Ainhoa</v>
      </c>
      <c r="G16" s="11" t="str">
        <f>$C44</f>
        <v>FRA</v>
      </c>
      <c r="H16" s="27">
        <f>$D44</f>
        <v>9539</v>
      </c>
      <c r="I16" s="12"/>
      <c r="K16" s="10" t="str">
        <f>$B49</f>
        <v>Gussoni,Emily</v>
      </c>
      <c r="L16" s="11" t="str">
        <f>$C49</f>
        <v>ITA</v>
      </c>
      <c r="M16" s="27">
        <f>$D49</f>
        <v>9250</v>
      </c>
      <c r="N16" s="12"/>
      <c r="P16" s="10" t="str">
        <f>$B48</f>
        <v>Leiceaga,Sarah</v>
      </c>
      <c r="Q16" s="11" t="str">
        <f>$C48</f>
        <v>FRA</v>
      </c>
      <c r="R16" s="27">
        <f>$D48</f>
        <v>12644</v>
      </c>
      <c r="S16" s="12"/>
      <c r="U16" s="10" t="str">
        <f>$B45</f>
        <v>Zeitler,Janina</v>
      </c>
      <c r="V16" s="11" t="str">
        <f>$C45</f>
        <v>DEU</v>
      </c>
      <c r="W16" s="11">
        <f>$D45</f>
        <v>13103</v>
      </c>
      <c r="X16" s="12"/>
      <c r="AK16" s="33" t="str">
        <f t="shared" si="0"/>
        <v>2021evt216</v>
      </c>
      <c r="AL16" s="36">
        <f>IF(I40=2,F40,(IF(I41=2,F41,)))</f>
        <v>0</v>
      </c>
      <c r="AM16" s="36">
        <f>IF(I40=2,G40,(IF(I41=2,G41,)))</f>
        <v>0</v>
      </c>
      <c r="AN16" s="37">
        <f>IF(I40=2,H40,(IF(I41=2,H41,)))</f>
        <v>0</v>
      </c>
      <c r="AO16" s="34">
        <v>5</v>
      </c>
      <c r="AP16" s="34">
        <f t="shared" si="1"/>
        <v>1500</v>
      </c>
      <c r="AQ16" s="42">
        <f t="shared" si="2"/>
        <v>1000</v>
      </c>
    </row>
    <row r="17" spans="1:43" ht="13" customHeight="1" x14ac:dyDescent="0.15">
      <c r="A17" s="1">
        <v>7</v>
      </c>
      <c r="B17" s="44" t="s">
        <v>140</v>
      </c>
      <c r="C17" s="43" t="s">
        <v>141</v>
      </c>
      <c r="D17" s="43">
        <v>7459</v>
      </c>
      <c r="E17" s="5" t="str">
        <f>C9</f>
        <v>Green</v>
      </c>
      <c r="F17" s="14" t="str">
        <f>$B57</f>
        <v>Moniz,Helena</v>
      </c>
      <c r="G17" s="15" t="str">
        <f>$C57</f>
        <v>PRT</v>
      </c>
      <c r="H17" s="28">
        <f>$D57</f>
        <v>15230</v>
      </c>
      <c r="I17" s="16"/>
      <c r="K17" s="14" t="str">
        <f>$B52</f>
        <v>Dupont,Justine</v>
      </c>
      <c r="L17" s="15" t="str">
        <f>$C52</f>
        <v>FRA</v>
      </c>
      <c r="M17" s="32">
        <f>$D52</f>
        <v>896</v>
      </c>
      <c r="N17" s="16"/>
      <c r="P17" s="14" t="str">
        <f>$B53</f>
        <v>Blanchard,Anais</v>
      </c>
      <c r="Q17" s="15" t="str">
        <f>$C53</f>
        <v>FRA</v>
      </c>
      <c r="R17" s="32">
        <f>$D53</f>
        <v>14699</v>
      </c>
      <c r="S17" s="16"/>
      <c r="U17" s="14" t="str">
        <f>$B56</f>
        <v>Cantero,Ana</v>
      </c>
      <c r="V17" s="15" t="str">
        <f>$C56</f>
        <v>PRT</v>
      </c>
      <c r="W17" s="15">
        <f>$D56</f>
        <v>15229</v>
      </c>
      <c r="X17" s="16"/>
      <c r="AK17" s="33" t="str">
        <f t="shared" si="0"/>
        <v>2021evt216</v>
      </c>
      <c r="AL17" s="36">
        <f>IF(X33=3,U33,(IF(X34=3,U34,(IF(X35=3,U35,(IF(X36=3,U36,)))))))</f>
        <v>0</v>
      </c>
      <c r="AM17" s="36">
        <f>IF(X33=3,V33,(IF(X34=3,V34,(IF(X35=3,V35,(IF(X36=3,V36,)))))))</f>
        <v>0</v>
      </c>
      <c r="AN17" s="37">
        <f>IF(X33=3,W33,(IF(X34=3,W34,(IF(X35=3,W35,(IF(X36=3,W36,)))))))</f>
        <v>0</v>
      </c>
      <c r="AO17" s="34">
        <v>9</v>
      </c>
      <c r="AP17" s="34">
        <f>$G$31</f>
        <v>1050</v>
      </c>
      <c r="AQ17" s="42">
        <f>$K$31</f>
        <v>750</v>
      </c>
    </row>
    <row r="18" spans="1:43" ht="13" customHeight="1" x14ac:dyDescent="0.15">
      <c r="A18" s="1">
        <v>8</v>
      </c>
      <c r="B18" s="45" t="s">
        <v>142</v>
      </c>
      <c r="C18" s="43" t="s">
        <v>143</v>
      </c>
      <c r="D18" s="43">
        <v>8044</v>
      </c>
      <c r="E18" s="1" t="s">
        <v>52</v>
      </c>
      <c r="F18" s="1"/>
      <c r="G18" s="1"/>
      <c r="H18" s="1"/>
      <c r="I18" s="1"/>
      <c r="J18" s="1"/>
      <c r="O18" s="1"/>
      <c r="T18" s="5"/>
      <c r="AK18" s="33" t="str">
        <f t="shared" si="0"/>
        <v>2021evt216</v>
      </c>
      <c r="AL18" s="36">
        <f>IF(S33=3,P33,(IF(S34=3,P34,(IF(S35=3,P35,(IF(S36=3,P36,)))))))</f>
        <v>0</v>
      </c>
      <c r="AM18" s="36">
        <f>IF(S33=3,Q33,(IF(S34=3,Q34,(IF(S35=3,Q35,(IF(S36=3,Q36,)))))))</f>
        <v>0</v>
      </c>
      <c r="AN18" s="37">
        <f>IF(S33=3,R33,(IF(S34=3,R34,(IF(S35=3,R35,(IF(S36=3,R36,)))))))</f>
        <v>0</v>
      </c>
      <c r="AO18" s="34">
        <v>9</v>
      </c>
      <c r="AP18" s="34">
        <f t="shared" ref="AP18:AP20" si="3">$G$31</f>
        <v>1050</v>
      </c>
      <c r="AQ18" s="42">
        <f t="shared" ref="AQ18:AQ20" si="4">$K$31</f>
        <v>750</v>
      </c>
    </row>
    <row r="19" spans="1:43" ht="13" customHeight="1" x14ac:dyDescent="0.15">
      <c r="A19" s="1">
        <v>9</v>
      </c>
      <c r="B19" s="45" t="s">
        <v>144</v>
      </c>
      <c r="C19" s="43" t="s">
        <v>94</v>
      </c>
      <c r="D19" s="43">
        <v>9507</v>
      </c>
      <c r="E19" s="1"/>
      <c r="F19" s="4" t="s">
        <v>37</v>
      </c>
      <c r="G19" s="1">
        <f>IF($E$2=1000,200,IF($E$2=3000,600,IF($E$2=5000,1000,"")))</f>
        <v>600</v>
      </c>
      <c r="H19" s="1"/>
      <c r="I19" s="1" t="s">
        <v>6</v>
      </c>
      <c r="J19" s="1"/>
      <c r="K19" s="6">
        <f>IF($C$2=1500,0,IF($C$2=2000,0,IF($C$2=2500,0,IF($C$2=5000,0,IF($C$2=7500,175,IF($C$2=10000,0,IF($C$2=30000,350,IF($C$2=50000,500,""))))))))</f>
        <v>350</v>
      </c>
      <c r="L19" s="40"/>
      <c r="M19" s="40"/>
      <c r="N19" s="1"/>
      <c r="O19" s="1"/>
      <c r="P19" s="4" t="s">
        <v>38</v>
      </c>
      <c r="Q19" s="1">
        <f>IF($E$2=1000,150,IF($E$2=3000,500,IF($E$2=5000,900,"")))</f>
        <v>500</v>
      </c>
      <c r="R19" s="1"/>
      <c r="S19" s="1" t="s">
        <v>6</v>
      </c>
      <c r="T19" s="1"/>
      <c r="U19" s="6">
        <f>IF($C$2=1500,0,IF($C$2=2000,0,IF($C$2=2500,0,IF($C$2=5000,0,IF($C$2=7500,175,IF($C$2=10000,0,IF($C$2=30000,250,IF($C$2=50000,400,""))))))))</f>
        <v>250</v>
      </c>
      <c r="V19" s="40"/>
      <c r="W19" s="40"/>
      <c r="X19" s="40"/>
      <c r="AK19" s="33" t="str">
        <f t="shared" si="0"/>
        <v>2021evt216</v>
      </c>
      <c r="AL19" s="36">
        <f>IF(N33=3,K33,(IF(N34=3,K34,(IF(N35=3,K35,(IF(N36=3,K36,)))))))</f>
        <v>0</v>
      </c>
      <c r="AM19" s="36">
        <f>IF(N33=3,L33,(IF(N34=3,L34,(IF(N35=3,L35,(IF(N36=3,L36,)))))))</f>
        <v>0</v>
      </c>
      <c r="AN19" s="37">
        <f>IF(N33=3,M33,(IF(N34=3,M34,(IF(N35=3,M35,(IF(N36=3,M36,)))))))</f>
        <v>0</v>
      </c>
      <c r="AO19" s="34">
        <v>9</v>
      </c>
      <c r="AP19" s="34">
        <f t="shared" si="3"/>
        <v>1050</v>
      </c>
      <c r="AQ19" s="42">
        <f t="shared" si="4"/>
        <v>750</v>
      </c>
    </row>
    <row r="20" spans="1:43" ht="13" customHeight="1" x14ac:dyDescent="0.15">
      <c r="A20" s="1">
        <v>10</v>
      </c>
      <c r="B20" s="44" t="s">
        <v>145</v>
      </c>
      <c r="C20" s="17" t="s">
        <v>139</v>
      </c>
      <c r="D20" s="43">
        <v>5368</v>
      </c>
      <c r="E20" s="2"/>
      <c r="F20" s="2" t="s">
        <v>39</v>
      </c>
      <c r="K20" s="2" t="s">
        <v>40</v>
      </c>
      <c r="P20" s="2" t="s">
        <v>41</v>
      </c>
      <c r="Q20" s="17"/>
      <c r="R20" s="17"/>
      <c r="U20" s="2" t="s">
        <v>42</v>
      </c>
      <c r="AK20" s="33" t="str">
        <f t="shared" si="0"/>
        <v>2021evt216</v>
      </c>
      <c r="AL20" s="36">
        <f>IF(I33=3,F33,(IF(I34=3,F34,(IF(I35=3,F35,(IF(I36=3,F36,)))))))</f>
        <v>0</v>
      </c>
      <c r="AM20" s="36">
        <f>IF(I33=3,G33,(IF(I34=3,G34,(IF(I35=3,G35,(IF(I36=3,G36,)))))))</f>
        <v>0</v>
      </c>
      <c r="AN20" s="37">
        <f>IF(I33=3,H33,(IF(I34=3,H34,(IF(I35=3,H35,(IF(I36=3,H36,)))))))</f>
        <v>0</v>
      </c>
      <c r="AO20" s="34">
        <v>9</v>
      </c>
      <c r="AP20" s="34">
        <f t="shared" si="3"/>
        <v>1050</v>
      </c>
      <c r="AQ20" s="42">
        <f t="shared" si="4"/>
        <v>750</v>
      </c>
    </row>
    <row r="21" spans="1:43" ht="13" customHeight="1" x14ac:dyDescent="0.15">
      <c r="A21" s="1">
        <v>11</v>
      </c>
      <c r="B21" s="46" t="s">
        <v>146</v>
      </c>
      <c r="C21" s="17" t="s">
        <v>94</v>
      </c>
      <c r="D21" s="43">
        <v>4349</v>
      </c>
      <c r="E21" s="5" t="str">
        <f>C6</f>
        <v>Red</v>
      </c>
      <c r="F21" s="7" t="str">
        <f>B11</f>
        <v>Canales Bilbao,Leticia</v>
      </c>
      <c r="G21" s="8" t="str">
        <f>C11</f>
        <v>ESP</v>
      </c>
      <c r="H21" s="8">
        <f>D11</f>
        <v>1028</v>
      </c>
      <c r="I21" s="9"/>
      <c r="K21" s="7" t="str">
        <f t="shared" ref="K21:M22" si="5">B18</f>
        <v>Presti,Rachel</v>
      </c>
      <c r="L21" s="8" t="str">
        <f t="shared" si="5"/>
        <v>DEU</v>
      </c>
      <c r="M21" s="8">
        <f t="shared" si="5"/>
        <v>8044</v>
      </c>
      <c r="N21" s="9"/>
      <c r="P21" s="7" t="str">
        <f>B15</f>
        <v>Bonvalot,Teresa</v>
      </c>
      <c r="Q21" s="18" t="str">
        <f>C15</f>
        <v>PRT</v>
      </c>
      <c r="R21" s="18">
        <f>D15</f>
        <v>7582</v>
      </c>
      <c r="S21" s="9"/>
      <c r="U21" s="7" t="str">
        <f>B14</f>
        <v>Le Car,Maud</v>
      </c>
      <c r="V21" s="18" t="str">
        <f>C14</f>
        <v>FRA</v>
      </c>
      <c r="W21" s="18">
        <f>D14</f>
        <v>1136</v>
      </c>
      <c r="X21" s="9"/>
      <c r="AK21" s="33" t="str">
        <f t="shared" si="0"/>
        <v>2021evt216</v>
      </c>
      <c r="AL21" s="36">
        <f>IF(X33=4,U33,(IF(X34=4,U34,(IF(X35=4,U35,(IF(X36=4,U36,)))))))</f>
        <v>0</v>
      </c>
      <c r="AM21" s="36">
        <f>IF(X33=4,V33,(IF(X34=4,V34,(IF(X35=4,V35,(IF(X36=4,V36,)))))))</f>
        <v>0</v>
      </c>
      <c r="AN21" s="37">
        <f>IF(X33=4,W33,(IF(X34=4,W34,(IF(X35=4,W35,(IF(X36=4,W36,)))))))</f>
        <v>0</v>
      </c>
      <c r="AO21" s="34">
        <v>13</v>
      </c>
      <c r="AP21" s="34">
        <f>$Q$31</f>
        <v>885</v>
      </c>
      <c r="AQ21" s="42">
        <f>$U$31</f>
        <v>550</v>
      </c>
    </row>
    <row r="22" spans="1:43" ht="13" customHeight="1" x14ac:dyDescent="0.15">
      <c r="A22" s="1">
        <v>12</v>
      </c>
      <c r="B22" s="46" t="s">
        <v>147</v>
      </c>
      <c r="C22" s="17" t="s">
        <v>72</v>
      </c>
      <c r="D22" s="17">
        <v>4704</v>
      </c>
      <c r="E22" s="5" t="str">
        <f>C7</f>
        <v>Blue</v>
      </c>
      <c r="F22" s="10" t="str">
        <f>B26</f>
        <v>Veselko,Francisca</v>
      </c>
      <c r="G22" s="11" t="str">
        <f>C26</f>
        <v>PRT</v>
      </c>
      <c r="H22" s="11">
        <f>D26</f>
        <v>10417</v>
      </c>
      <c r="I22" s="12"/>
      <c r="K22" s="10" t="str">
        <f t="shared" si="5"/>
        <v>Hopkins,Yolanda</v>
      </c>
      <c r="L22" s="11" t="str">
        <f t="shared" si="5"/>
        <v>PRT</v>
      </c>
      <c r="M22" s="11">
        <f t="shared" si="5"/>
        <v>9507</v>
      </c>
      <c r="N22" s="12"/>
      <c r="P22" s="10" t="str">
        <f>B22</f>
        <v>Thyssen,Tessa</v>
      </c>
      <c r="Q22" s="19" t="str">
        <f>C22</f>
        <v>FRA</v>
      </c>
      <c r="R22" s="19">
        <f>D22</f>
        <v>4704</v>
      </c>
      <c r="S22" s="12"/>
      <c r="U22" s="10" t="str">
        <f>B23</f>
        <v>Erostarbe,Nadia</v>
      </c>
      <c r="V22" s="19" t="str">
        <f>C23</f>
        <v>EUK</v>
      </c>
      <c r="W22" s="19">
        <f>D23</f>
        <v>8360</v>
      </c>
      <c r="X22" s="12"/>
      <c r="AK22" s="33" t="str">
        <f t="shared" si="0"/>
        <v>2021evt216</v>
      </c>
      <c r="AL22" s="36">
        <f>IF(S33=4,P33,(IF(S34=4,P34,(IF(S35=4,P35,(IF(S36=4,P36,)))))))</f>
        <v>0</v>
      </c>
      <c r="AM22" s="36">
        <f>IF(S33=4,Q33,(IF(S34=4,Q34,(IF(S35=4,Q35,(IF(S36=4,Q36,)))))))</f>
        <v>0</v>
      </c>
      <c r="AN22" s="37">
        <f>IF(S33=4,R33,(IF(S34=4,R34,(IF(S35=4,R35,(IF(S36=4,R36,)))))))</f>
        <v>0</v>
      </c>
      <c r="AO22" s="34">
        <v>13</v>
      </c>
      <c r="AP22" s="34">
        <f t="shared" ref="AP22:AP24" si="6">$Q$31</f>
        <v>885</v>
      </c>
      <c r="AQ22" s="42">
        <f t="shared" ref="AQ22:AQ24" si="7">$U$31</f>
        <v>550</v>
      </c>
    </row>
    <row r="23" spans="1:43" ht="13" customHeight="1" x14ac:dyDescent="0.15">
      <c r="A23" s="1">
        <v>13</v>
      </c>
      <c r="B23" s="44" t="s">
        <v>148</v>
      </c>
      <c r="C23" s="43" t="s">
        <v>139</v>
      </c>
      <c r="D23" s="43">
        <v>8360</v>
      </c>
      <c r="E23" s="5" t="str">
        <f>C8</f>
        <v>White</v>
      </c>
      <c r="F23" s="10">
        <f>IF(I9=1,F9,(IF(I10=1,F10,(IF(I11=1,F11,IF(I12=1,F12,1.1))))))</f>
        <v>1.1000000000000001</v>
      </c>
      <c r="G23" s="11" t="str">
        <f>IF(I9=1,G9,(IF(I10=1,G10,(IF(I11=1,G11,IF(I12=1,G12,""))))))</f>
        <v/>
      </c>
      <c r="H23" s="11" t="str">
        <f>IF(I9=1,H9,(IF(I10=1,H10,(IF(I11=1,H11,IF(I12=1,H12,""))))))</f>
        <v/>
      </c>
      <c r="I23" s="12"/>
      <c r="K23" s="10">
        <f>IF(N9=1,K9,(IF(N10=1,K10,(IF(N11=1,K11,IF(N12=1,K12,1.2))))))</f>
        <v>1.2</v>
      </c>
      <c r="L23" s="11" t="str">
        <f>IF(N9=1,L9,(IF(N10=1,L10,(IF(N11=1,L11,IF(N12=1,L12,""))))))</f>
        <v/>
      </c>
      <c r="M23" s="11" t="str">
        <f>IF(N9=1,M9,(IF(N10=1,M10,(IF(N11=1,M11,IF(N12=1,M12,""))))))</f>
        <v/>
      </c>
      <c r="N23" s="12"/>
      <c r="P23" s="10">
        <f>IF(S9=1,P9,(IF(S10=1,P10,(IF(S11=1,P11,IF(S12=1,P12,1.3))))))</f>
        <v>1.3</v>
      </c>
      <c r="Q23" s="11" t="str">
        <f>IF(S9=1,Q9,(IF(S10=1,Q10,(IF(S11=1,Q11,IF(S12=1,Q12,""))))))</f>
        <v/>
      </c>
      <c r="R23" s="11" t="str">
        <f>IF(S9=1,R9,(IF(S10=1,R10,(IF(S11=1,R11,IF(S12=1,R12,""))))))</f>
        <v/>
      </c>
      <c r="S23" s="12"/>
      <c r="U23" s="10">
        <f>IF(X9=1,U9,(IF(X10=1,U10,(IF(X11=1,U11,IF(X12=1,U12,1.4))))))</f>
        <v>1.4</v>
      </c>
      <c r="V23" s="11" t="str">
        <f>IF(X9=1,V9,(IF(X10=1,V10,(IF(X11=1,V11,IF(X12=1,V12,""))))))</f>
        <v/>
      </c>
      <c r="W23" s="11" t="str">
        <f>IF(X9=1,W9,(IF(X10=1,W10,(IF(X11=1,W11,IF(X12=1,W12,""))))))</f>
        <v/>
      </c>
      <c r="X23" s="12"/>
      <c r="AK23" s="33" t="str">
        <f t="shared" si="0"/>
        <v>2021evt216</v>
      </c>
      <c r="AL23" s="36">
        <f>IF(N33=4,K33,(IF(N34=4,K34,(IF(N35=4,K35,(IF(N36=4,K36,)))))))</f>
        <v>0</v>
      </c>
      <c r="AM23" s="36">
        <f>IF(N33=4,L33,(IF(N34=4,L34,(IF(N35=4,L35,(IF(N36=4,L36,)))))))</f>
        <v>0</v>
      </c>
      <c r="AN23" s="37">
        <f>IF(N33=4,M33,(IF(N34=4,M34,(IF(N35=4,M35,(IF(N36=4,M36,)))))))</f>
        <v>0</v>
      </c>
      <c r="AO23" s="34">
        <v>13</v>
      </c>
      <c r="AP23" s="34">
        <f t="shared" si="6"/>
        <v>885</v>
      </c>
      <c r="AQ23" s="42">
        <f t="shared" si="7"/>
        <v>550</v>
      </c>
    </row>
    <row r="24" spans="1:43" ht="13" customHeight="1" x14ac:dyDescent="0.15">
      <c r="A24" s="1">
        <v>14</v>
      </c>
      <c r="B24" s="47" t="s">
        <v>149</v>
      </c>
      <c r="C24" s="17" t="s">
        <v>94</v>
      </c>
      <c r="D24" s="17">
        <v>10445</v>
      </c>
      <c r="E24" s="5" t="str">
        <f>C9</f>
        <v>Green</v>
      </c>
      <c r="F24" s="14">
        <f>IF(N9=2,K9,(IF(N10=2,K10,(IF(N11=2,K11,IF(N12=2,K12,2.2))))))</f>
        <v>2.2000000000000002</v>
      </c>
      <c r="G24" s="15" t="str">
        <f>IF(N9=2,L9,(IF(N10=2,L10,(IF(N11=2,L11,IF(N12=2,L12,""))))))</f>
        <v/>
      </c>
      <c r="H24" s="15" t="str">
        <f>IF(N9=2,M9,(IF(N10=2,M10,(IF(N11=2,M11,IF(N12=2,M12,""))))))</f>
        <v/>
      </c>
      <c r="I24" s="16"/>
      <c r="K24" s="14">
        <f>IF(I9=2,F9,(IF(I10=2,F10,(IF(I11=2,F11,IF(I12=2,F12,2.1))))))</f>
        <v>2.1</v>
      </c>
      <c r="L24" s="15" t="str">
        <f>IF(I9=2,G9,(IF(I10=2,G10,(IF(I11=2,G11,IF(I12=2,G12,""))))))</f>
        <v/>
      </c>
      <c r="M24" s="15" t="str">
        <f>IF(I9=2,H9,(IF(I10=2,H10,(IF(I11=2,H11,IF(I12=2,H12,""))))))</f>
        <v/>
      </c>
      <c r="N24" s="16"/>
      <c r="P24" s="14">
        <f>IF(X9=2,U9,(IF(X10=2,U10,(IF(X11=2,U11,IF(X12=2,U12,2.4))))))</f>
        <v>2.4</v>
      </c>
      <c r="Q24" s="15" t="str">
        <f>IF(X9=2,V9,(IF(X10=2,V10,(IF(X11=2,V11,IF(X12=2,V12,""))))))</f>
        <v/>
      </c>
      <c r="R24" s="15" t="str">
        <f>IF(X9=2,W9,(IF(X10=2,W10,(IF(X11=2,W11,IF(X12=2,W12,""))))))</f>
        <v/>
      </c>
      <c r="S24" s="16"/>
      <c r="U24" s="14">
        <f>IF(S9=2,P9,(IF(S10=2,P10,(IF(S11=2,P11,IF(S12=2,P12,2.3))))))</f>
        <v>2.2999999999999998</v>
      </c>
      <c r="V24" s="15" t="str">
        <f>IF(S9=2,Q9,(IF(S10=2,Q10,(IF(S11=2,Q11,IF(S12=2,Q12,""))))))</f>
        <v/>
      </c>
      <c r="W24" s="15" t="str">
        <f>IF(S9=2,R9,(IF(S10=2,R10,(IF(S11=2,R11,IF(S12=2,R12,""))))))</f>
        <v/>
      </c>
      <c r="X24" s="16"/>
      <c r="AK24" s="33" t="str">
        <f t="shared" si="0"/>
        <v>2021evt216</v>
      </c>
      <c r="AL24" s="36">
        <f>IF(I33=4,F33,(IF(I34=4,F34,(IF(I35=4,F35,(IF(I36=4,F36,)))))))</f>
        <v>0</v>
      </c>
      <c r="AM24" s="36">
        <f>IF(I33=4,G33,(IF(I34=4,G34,(IF(I35=4,G35,(IF(I36=4,G36,)))))))</f>
        <v>0</v>
      </c>
      <c r="AN24" s="37">
        <f>IF(I33=4,H33,(IF(I34=4,H34,(IF(I35=4,H35,(IF(I36=4,H36,)))))))</f>
        <v>0</v>
      </c>
      <c r="AO24" s="34">
        <v>13</v>
      </c>
      <c r="AP24" s="34">
        <f t="shared" si="6"/>
        <v>885</v>
      </c>
      <c r="AQ24" s="42">
        <f t="shared" si="7"/>
        <v>550</v>
      </c>
    </row>
    <row r="25" spans="1:43" ht="13" customHeight="1" x14ac:dyDescent="0.15">
      <c r="A25" s="1">
        <v>15</v>
      </c>
      <c r="B25" s="45" t="s">
        <v>150</v>
      </c>
      <c r="C25" s="43" t="s">
        <v>139</v>
      </c>
      <c r="D25" s="43">
        <v>10816</v>
      </c>
      <c r="F25" s="10" t="s">
        <v>43</v>
      </c>
      <c r="G25" s="11"/>
      <c r="H25" s="11"/>
      <c r="I25" s="38"/>
      <c r="K25" s="2" t="s">
        <v>44</v>
      </c>
      <c r="N25" s="38"/>
      <c r="P25" s="2" t="s">
        <v>45</v>
      </c>
      <c r="Q25" s="17"/>
      <c r="R25" s="17"/>
      <c r="S25" s="38"/>
      <c r="U25" s="2" t="s">
        <v>46</v>
      </c>
      <c r="X25" s="38"/>
      <c r="AK25" s="33" t="str">
        <f t="shared" si="0"/>
        <v>2021evt216</v>
      </c>
      <c r="AL25" s="36">
        <f>IF(X26=3,U26,(IF(X27=3,U27,(IF(X28=3,U28,(IF(X29=3,U29,)))))))</f>
        <v>0</v>
      </c>
      <c r="AM25" s="36">
        <f>IF(X26=3,V26,(IF(X27=3,V27,(IF(X28=3,V28,(IF(X29=3,V29,)))))))</f>
        <v>0</v>
      </c>
      <c r="AN25" s="37">
        <f>IF(X26=3,W26,(IF(X27=3,W27,(IF(X28=3,W28,(IF(X29=3,W29,)))))))</f>
        <v>0</v>
      </c>
      <c r="AO25" s="34">
        <v>17</v>
      </c>
      <c r="AP25" s="34">
        <f>$G$19</f>
        <v>600</v>
      </c>
      <c r="AQ25" s="42">
        <f>$K$19</f>
        <v>350</v>
      </c>
    </row>
    <row r="26" spans="1:43" ht="13" customHeight="1" x14ac:dyDescent="0.15">
      <c r="A26" s="1">
        <v>16</v>
      </c>
      <c r="B26" s="45" t="s">
        <v>151</v>
      </c>
      <c r="C26" s="43" t="s">
        <v>94</v>
      </c>
      <c r="D26" s="43">
        <v>10417</v>
      </c>
      <c r="E26" s="5" t="str">
        <f>C6</f>
        <v>Red</v>
      </c>
      <c r="F26" s="7" t="str">
        <f>B12</f>
        <v>Ado,Pauline</v>
      </c>
      <c r="G26" s="8" t="str">
        <f>C12</f>
        <v>FRA</v>
      </c>
      <c r="H26" s="8">
        <f>D12</f>
        <v>1421</v>
      </c>
      <c r="I26" s="9"/>
      <c r="K26" s="7" t="str">
        <f>B17</f>
        <v>Hooft,Eveline</v>
      </c>
      <c r="L26" s="8" t="str">
        <f>C17</f>
        <v>NLD</v>
      </c>
      <c r="M26" s="8">
        <f>D17</f>
        <v>7459</v>
      </c>
      <c r="N26" s="9"/>
      <c r="P26" s="7" t="str">
        <f>B16</f>
        <v>Sanchez Ortun,Garazi</v>
      </c>
      <c r="Q26" s="18" t="str">
        <f>C16</f>
        <v>EUK</v>
      </c>
      <c r="R26" s="18">
        <f>D16</f>
        <v>4312</v>
      </c>
      <c r="S26" s="9"/>
      <c r="U26" s="7" t="str">
        <f>B13</f>
        <v>Fierro,Vahine</v>
      </c>
      <c r="V26" s="18" t="str">
        <f>C13</f>
        <v>FRA</v>
      </c>
      <c r="W26" s="18">
        <f>D13</f>
        <v>7371</v>
      </c>
      <c r="X26" s="9"/>
      <c r="AK26" s="33" t="str">
        <f t="shared" si="0"/>
        <v>2021evt216</v>
      </c>
      <c r="AL26" s="36">
        <f>IF(S26=3,P26,(IF(S27=3,P27,(IF(S28=3,P28,(IF(S29=3,P29,)))))))</f>
        <v>0</v>
      </c>
      <c r="AM26" s="36">
        <f>IF(S26=3,Q26,(IF(S27=3,Q27,(IF(S28=3,Q28,(IF(S29=3,Q29,)))))))</f>
        <v>0</v>
      </c>
      <c r="AN26" s="37">
        <f>IF(S26=3,R26,(IF(S27=3,R27,(IF(S28=3,R28,(IF(S29=3,R29,)))))))</f>
        <v>0</v>
      </c>
      <c r="AO26" s="34">
        <v>17</v>
      </c>
      <c r="AP26" s="34">
        <f t="shared" ref="AP26:AP32" si="8">$G$19</f>
        <v>600</v>
      </c>
      <c r="AQ26" s="42">
        <f t="shared" ref="AQ26:AQ32" si="9">$K$19</f>
        <v>350</v>
      </c>
    </row>
    <row r="27" spans="1:43" ht="13" customHeight="1" x14ac:dyDescent="0.15">
      <c r="A27" s="1">
        <v>17</v>
      </c>
      <c r="B27" s="45" t="s">
        <v>152</v>
      </c>
      <c r="C27" s="43" t="s">
        <v>143</v>
      </c>
      <c r="D27" s="43">
        <v>6948</v>
      </c>
      <c r="E27" s="5" t="str">
        <f>C7</f>
        <v>Blue</v>
      </c>
      <c r="F27" s="10" t="str">
        <f>B25</f>
        <v>Gonzalez Etxabarri,Janire</v>
      </c>
      <c r="G27" s="11" t="str">
        <f>C25</f>
        <v>EUK</v>
      </c>
      <c r="H27" s="11">
        <f>D25</f>
        <v>10816</v>
      </c>
      <c r="I27" s="12"/>
      <c r="K27" s="10" t="str">
        <f>B20</f>
        <v>Ochoa,Ariane</v>
      </c>
      <c r="L27" s="11" t="str">
        <f>C20</f>
        <v>EUK</v>
      </c>
      <c r="M27" s="11">
        <f>D20</f>
        <v>5368</v>
      </c>
      <c r="N27" s="12"/>
      <c r="P27" s="10" t="str">
        <f>B21</f>
        <v>Mendes,Carolina</v>
      </c>
      <c r="Q27" s="19" t="str">
        <f>C21</f>
        <v>PRT</v>
      </c>
      <c r="R27" s="19">
        <f>D21</f>
        <v>4349</v>
      </c>
      <c r="S27" s="12"/>
      <c r="U27" s="10" t="str">
        <f>B24</f>
        <v>Lopes,Mafalda</v>
      </c>
      <c r="V27" s="19" t="str">
        <f>C24</f>
        <v>PRT</v>
      </c>
      <c r="W27" s="19">
        <f>D24</f>
        <v>10445</v>
      </c>
      <c r="X27" s="12"/>
      <c r="AK27" s="33" t="str">
        <f t="shared" si="0"/>
        <v>2021evt216</v>
      </c>
      <c r="AL27" s="36">
        <f>IF(N26=3,K26,(IF(N27=3,K27,(IF(N28=3,K28,(IF(N29=3,K29,)))))))</f>
        <v>0</v>
      </c>
      <c r="AM27" s="36">
        <f>IF(N26=3,L26,(IF(N27=3,L27,(IF(N28=3,L28,(IF(N29=3,L29,)))))))</f>
        <v>0</v>
      </c>
      <c r="AN27" s="37">
        <f>IF(N26=3,M26,(IF(N27=3,M27,(IF(N28=3,M28,(IF(N29=3,M29,)))))))</f>
        <v>0</v>
      </c>
      <c r="AO27" s="34">
        <v>17</v>
      </c>
      <c r="AP27" s="34">
        <f t="shared" si="8"/>
        <v>600</v>
      </c>
      <c r="AQ27" s="42">
        <f t="shared" si="9"/>
        <v>350</v>
      </c>
    </row>
    <row r="28" spans="1:43" ht="13" customHeight="1" x14ac:dyDescent="0.15">
      <c r="A28" s="1">
        <v>18</v>
      </c>
      <c r="B28" s="45" t="s">
        <v>153</v>
      </c>
      <c r="C28" s="43" t="s">
        <v>72</v>
      </c>
      <c r="D28" s="43">
        <v>12359</v>
      </c>
      <c r="E28" s="5" t="str">
        <f>C8</f>
        <v>White</v>
      </c>
      <c r="F28" s="10">
        <f>IF(I14=1,F14,(IF(I15=1,F15,(IF(I16=1,F16,IF(I17=1,F17,1.5))))))</f>
        <v>1.5</v>
      </c>
      <c r="G28" s="11" t="str">
        <f>IF(I14=1,G14,(IF(I15=1,G15,(IF(I16=1,G16,IF(I17=1,G17,""))))))</f>
        <v/>
      </c>
      <c r="H28" s="11" t="str">
        <f>IF(I14=1,H14,(IF(I15=1,H15,(IF(I16=1,H16,IF(I17=1,H17,""))))))</f>
        <v/>
      </c>
      <c r="I28" s="12"/>
      <c r="K28" s="10">
        <f>IF(N14=1,K14,(IF(N15=1,K15,(IF(N16=1,K16,IF(N17=1,K17,1.6))))))</f>
        <v>1.6</v>
      </c>
      <c r="L28" s="11" t="str">
        <f>IF(N14=1,L14,(IF(N15=1,L15,(IF(N16=1,L16,IF(N17=1,L17,""))))))</f>
        <v/>
      </c>
      <c r="M28" s="11" t="str">
        <f>IF(N14=1,M14,(IF(N15=1,M15,(IF(N16=1,M16,IF(N17=1,M17,""))))))</f>
        <v/>
      </c>
      <c r="N28" s="12"/>
      <c r="P28" s="10">
        <f>IF(S14=1,P14,(IF(S15=1,P15,(IF(S16=1,P16,IF(S17=1,P17,1.7))))))</f>
        <v>1.7</v>
      </c>
      <c r="Q28" s="11" t="str">
        <f>IF(S14=1,Q14,(IF(S15=1,Q15,(IF(S16=1,Q16,IF(S17=1,Q17,""))))))</f>
        <v/>
      </c>
      <c r="R28" s="11" t="str">
        <f>IF(S14=1,R14,(IF(S15=1,R15,(IF(S16=1,R16,IF(S17=1,R17,""))))))</f>
        <v/>
      </c>
      <c r="S28" s="12"/>
      <c r="U28" s="10">
        <f>IF(X14=1,U14,(IF(X15=1,U15,(IF(X16=1,U16,IF(X17=1,U17,1.8))))))</f>
        <v>1.8</v>
      </c>
      <c r="V28" s="11" t="str">
        <f>IF(X14=1,V14,(IF(X15=1,V15,(IF(X16=1,V16,IF(X17=1,V17,""))))))</f>
        <v/>
      </c>
      <c r="W28" s="11" t="str">
        <f>IF(X14=1,W14,(IF(X15=1,W15,(IF(X16=1,W16,IF(X17=1,W17,""))))))</f>
        <v/>
      </c>
      <c r="X28" s="12"/>
      <c r="AK28" s="33" t="str">
        <f t="shared" si="0"/>
        <v>2021evt216</v>
      </c>
      <c r="AL28" s="36">
        <f>IF(I26=3,F26,(IF(I27=3,F27,(IF(I28=3,F28,(IF(I29=3,F29,)))))))</f>
        <v>0</v>
      </c>
      <c r="AM28" s="36">
        <f>IF(I26=3,G26,(IF(I27=3,G27,(IF(I28=3,G28,(IF(I29=3,G29,)))))))</f>
        <v>0</v>
      </c>
      <c r="AN28" s="37">
        <f>IF(I26=3,H26,(IF(I27=3,H27,(IF(I28=3,H28,(IF(I29=3,H29,)))))))</f>
        <v>0</v>
      </c>
      <c r="AO28" s="34">
        <v>17</v>
      </c>
      <c r="AP28" s="34">
        <f t="shared" si="8"/>
        <v>600</v>
      </c>
      <c r="AQ28" s="42">
        <f t="shared" si="9"/>
        <v>350</v>
      </c>
    </row>
    <row r="29" spans="1:43" ht="13" customHeight="1" x14ac:dyDescent="0.15">
      <c r="A29" s="1">
        <v>19</v>
      </c>
      <c r="B29" s="45" t="s">
        <v>154</v>
      </c>
      <c r="C29" s="43" t="s">
        <v>72</v>
      </c>
      <c r="D29" s="43">
        <v>10508</v>
      </c>
      <c r="E29" s="5" t="str">
        <f>C9</f>
        <v>Green</v>
      </c>
      <c r="F29" s="14">
        <f>IF(N14=2,K14,(IF(N15=2,K15,(IF(N16=2,K16,IF(N17=2,K17,2.6))))))</f>
        <v>2.6</v>
      </c>
      <c r="G29" s="15" t="str">
        <f>IF(N14=2,L14,(IF(N15=2,L15,(IF(N16=2,L16,IF(N17=2,L17,""))))))</f>
        <v/>
      </c>
      <c r="H29" s="15" t="str">
        <f>IF(N14=2,M14,(IF(N15=2,M15,(IF(N16=2,M16,IF(N17=2,M17,""))))))</f>
        <v/>
      </c>
      <c r="I29" s="16"/>
      <c r="K29" s="14">
        <f>IF(I14=2,F14,(IF(I15=2,F15,(IF(I16=2,F16,IF(I17=2,F17,2.5))))))</f>
        <v>2.5</v>
      </c>
      <c r="L29" s="15" t="str">
        <f>IF(I14=2,G14,(IF(I15=2,G15,(IF(I16=2,G16,IF(I17=2,G17,""))))))</f>
        <v/>
      </c>
      <c r="M29" s="15" t="str">
        <f>IF(I14=2,H14,(IF(I15=2,H15,(IF(I16=2,H16,IF(I17=2,H17,""))))))</f>
        <v/>
      </c>
      <c r="N29" s="16"/>
      <c r="P29" s="14">
        <f>IF(X14=2,U14,(IF(X15=2,U15,(IF(X16=2,U16,IF(X17=2,U17,2.8))))))</f>
        <v>2.8</v>
      </c>
      <c r="Q29" s="15" t="str">
        <f>IF(X14=2,V14,(IF(X15=2,V15,(IF(X16=2,V16,IF(X17=2,V17,""))))))</f>
        <v/>
      </c>
      <c r="R29" s="15" t="str">
        <f>IF(X14=2,W14,(IF(X15=2,W15,(IF(X16=2,W16,IF(X17=2,W17,""))))))</f>
        <v/>
      </c>
      <c r="S29" s="16"/>
      <c r="U29" s="14">
        <f>IF(S14=2,P14,(IF(S15=2,P15,(IF(S16=2,P16,IF(S17=2,P17,2.7))))))</f>
        <v>2.7</v>
      </c>
      <c r="V29" s="15" t="str">
        <f>IF(S14=2,Q14,(IF(S15=2,Q15,(IF(S16=2,Q16,IF(S17=2,Q17,""))))))</f>
        <v/>
      </c>
      <c r="W29" s="15" t="str">
        <f>IF(S14=2,R14,(IF(S15=2,R15,(IF(S16=2,R16,IF(S17=2,R17,""))))))</f>
        <v/>
      </c>
      <c r="X29" s="16"/>
      <c r="AK29" s="33" t="str">
        <f t="shared" si="0"/>
        <v>2021evt216</v>
      </c>
      <c r="AL29" s="36">
        <f>IF(X21=3,U21,(IF(X22=3,U22,(IF(X23=3,U23,(IF(X24=3,U24,)))))))</f>
        <v>0</v>
      </c>
      <c r="AM29" s="36">
        <f>IF(X21=3,V21,(IF(X22=3,V22,(IF(X23=3,V23,(IF(X24=3,V24,)))))))</f>
        <v>0</v>
      </c>
      <c r="AN29" s="37">
        <f>IF(X21=3,W21,(IF(X22=3,W22,(IF(X23=3,W23,(IF(X24=3,W24,)))))))</f>
        <v>0</v>
      </c>
      <c r="AO29" s="34">
        <v>17</v>
      </c>
      <c r="AP29" s="34">
        <f t="shared" si="8"/>
        <v>600</v>
      </c>
      <c r="AQ29" s="42">
        <f t="shared" si="9"/>
        <v>350</v>
      </c>
    </row>
    <row r="30" spans="1:43" ht="13" customHeight="1" x14ac:dyDescent="0.15">
      <c r="A30" s="1">
        <v>20</v>
      </c>
      <c r="B30" s="45" t="s">
        <v>155</v>
      </c>
      <c r="C30" s="17" t="s">
        <v>118</v>
      </c>
      <c r="D30" s="43">
        <v>1058</v>
      </c>
      <c r="E30" s="5" t="s">
        <v>51</v>
      </c>
      <c r="F30" s="40"/>
      <c r="G30" s="40"/>
      <c r="H30" s="40"/>
      <c r="I30" s="40"/>
      <c r="J30" s="1"/>
      <c r="K30" s="1"/>
      <c r="L30" s="1"/>
      <c r="M30" s="1"/>
      <c r="N30" s="1"/>
      <c r="O30" s="1"/>
      <c r="P30" s="1"/>
      <c r="Q30" s="17"/>
      <c r="R30" s="17"/>
      <c r="S30" s="1"/>
      <c r="T30" s="1"/>
      <c r="U30" s="1"/>
      <c r="V30" s="40"/>
      <c r="W30" s="40"/>
      <c r="X30" s="40"/>
      <c r="AK30" s="33" t="str">
        <f t="shared" si="0"/>
        <v>2021evt216</v>
      </c>
      <c r="AL30" s="36">
        <f>IF(S21=3,P21,(IF(S22=3,P22,(IF(S23=3,P23,(IF(S24=3,P24,)))))))</f>
        <v>0</v>
      </c>
      <c r="AM30" s="36">
        <f>IF(S21=3,Q21,(IF(S22=3,Q22,(IF(S23=3,Q23,(IF(S24=3,Q24,)))))))</f>
        <v>0</v>
      </c>
      <c r="AN30" s="37">
        <f>IF(S21=3,R21,(IF(S22=3,R22,(IF(S23=3,R23,(IF(S24=3,R24,)))))))</f>
        <v>0</v>
      </c>
      <c r="AO30" s="34">
        <v>17</v>
      </c>
      <c r="AP30" s="34">
        <f t="shared" si="8"/>
        <v>600</v>
      </c>
      <c r="AQ30" s="42">
        <f t="shared" si="9"/>
        <v>350</v>
      </c>
    </row>
    <row r="31" spans="1:43" ht="13" customHeight="1" x14ac:dyDescent="0.15">
      <c r="A31" s="1">
        <v>21</v>
      </c>
      <c r="B31" s="45" t="s">
        <v>156</v>
      </c>
      <c r="C31" s="43" t="s">
        <v>118</v>
      </c>
      <c r="D31" s="43">
        <v>11286</v>
      </c>
      <c r="E31" s="1"/>
      <c r="F31" s="4" t="s">
        <v>25</v>
      </c>
      <c r="G31" s="1">
        <f>IF($E$2=1000,350,IF($E$2=3000,1050,IF($E$2=5000,1750,"")))</f>
        <v>1050</v>
      </c>
      <c r="H31" s="1"/>
      <c r="I31" s="1" t="s">
        <v>6</v>
      </c>
      <c r="J31" s="1"/>
      <c r="K31" s="6">
        <f>IF($C$2=1500,0,IF($C$2=2000,0,IF($C$2=2500,0,IF($C$2=5000,0,IF($C$2=7500,225,IF($C$2=10000,300,IF($C$2=30000,750,IF($C$2=50000,1000,""))))))))</f>
        <v>750</v>
      </c>
      <c r="L31" s="1"/>
      <c r="M31" s="1"/>
      <c r="N31" s="1"/>
      <c r="O31" s="1"/>
      <c r="P31" s="4" t="s">
        <v>26</v>
      </c>
      <c r="Q31" s="1">
        <f>IF($E$2=1000,295,IF($E$2=3000,885,IF($E$2=5000,1600,"")))</f>
        <v>885</v>
      </c>
      <c r="R31" s="1"/>
      <c r="S31" s="1" t="s">
        <v>6</v>
      </c>
      <c r="T31" s="1"/>
      <c r="U31" s="6">
        <f>IF($C$2=1500,0,IF($C$2=2000,0,IF($C$2=2500,0,IF($C$2=5000,0,IF($C$2=7500,175,IF($C$2=10000,200,IF($C$2=30000,550,IF($C$2=50000,700,""))))))))</f>
        <v>550</v>
      </c>
      <c r="V31" s="1"/>
      <c r="W31" s="1"/>
      <c r="X31" s="1"/>
      <c r="AK31" s="33" t="str">
        <f t="shared" si="0"/>
        <v>2021evt216</v>
      </c>
      <c r="AL31" s="36">
        <f>IF(N21=3,K21,(IF(N22=3,K22,(IF(N23=3,K23,(IF(N24=3,K24,)))))))</f>
        <v>0</v>
      </c>
      <c r="AM31" s="36">
        <f>IF(N21=3,L21,(IF(N22=3,L22,(IF(N23=3,L23,(IF(N24=3,L24,)))))))</f>
        <v>0</v>
      </c>
      <c r="AN31" s="37">
        <f>IF(N21=3,M21,(IF(N22=3,M22,(IF(N23=3,M23,(IF(N24=3,M24,)))))))</f>
        <v>0</v>
      </c>
      <c r="AO31" s="34">
        <v>17</v>
      </c>
      <c r="AP31" s="34">
        <f t="shared" si="8"/>
        <v>600</v>
      </c>
      <c r="AQ31" s="42">
        <f t="shared" si="9"/>
        <v>350</v>
      </c>
    </row>
    <row r="32" spans="1:43" ht="13" customHeight="1" x14ac:dyDescent="0.15">
      <c r="A32" s="1">
        <v>22</v>
      </c>
      <c r="B32" s="45" t="s">
        <v>157</v>
      </c>
      <c r="C32" s="43" t="s">
        <v>158</v>
      </c>
      <c r="D32" s="43">
        <v>6795</v>
      </c>
      <c r="F32" s="40" t="s">
        <v>39</v>
      </c>
      <c r="G32" s="40"/>
      <c r="H32" s="40"/>
      <c r="I32" s="40"/>
      <c r="J32" s="40"/>
      <c r="K32" s="40" t="s">
        <v>40</v>
      </c>
      <c r="L32" s="40"/>
      <c r="M32" s="40"/>
      <c r="N32" s="40"/>
      <c r="O32" s="40"/>
      <c r="P32" s="40" t="s">
        <v>41</v>
      </c>
      <c r="Q32" s="17"/>
      <c r="R32" s="17"/>
      <c r="S32" s="40"/>
      <c r="T32" s="40"/>
      <c r="U32" s="40" t="s">
        <v>42</v>
      </c>
      <c r="V32" s="40"/>
      <c r="W32" s="40"/>
      <c r="X32" s="40"/>
      <c r="AK32" s="33" t="str">
        <f t="shared" si="0"/>
        <v>2021evt216</v>
      </c>
      <c r="AL32" s="36">
        <f>IF(I21=3,F21,(IF(I22=3,F22,(IF(I23=3,F23,(IF(I24=3,F24,)))))))</f>
        <v>0</v>
      </c>
      <c r="AM32" s="36">
        <f>IF(I21=3,G21,(IF(I22=3,G22,(IF(I23=3,G23,(IF(I24=3,G24,)))))))</f>
        <v>0</v>
      </c>
      <c r="AN32" s="37">
        <f>IF(I21=3,H21,(IF(I22=3,H22,(IF(I23=3,H23,(IF(I24=3,H24,)))))))</f>
        <v>0</v>
      </c>
      <c r="AO32" s="34">
        <v>17</v>
      </c>
      <c r="AP32" s="34">
        <f t="shared" si="8"/>
        <v>600</v>
      </c>
      <c r="AQ32" s="42">
        <f t="shared" si="9"/>
        <v>350</v>
      </c>
    </row>
    <row r="33" spans="1:43" ht="13" customHeight="1" x14ac:dyDescent="0.15">
      <c r="A33" s="1">
        <v>23</v>
      </c>
      <c r="B33" s="45" t="s">
        <v>159</v>
      </c>
      <c r="C33" s="43" t="s">
        <v>72</v>
      </c>
      <c r="D33" s="43">
        <v>10199</v>
      </c>
      <c r="E33" s="5" t="str">
        <f>$C$6</f>
        <v>Red</v>
      </c>
      <c r="F33" s="7">
        <f>IF(I21=1,F21,(IF(I22=1,F22,(IF(I23=1,F23,(IF(I24=1,F24,1.1)))))))</f>
        <v>1.1000000000000001</v>
      </c>
      <c r="G33" s="8" t="str">
        <f>IF(I21=1,G21,(IF(I22=1,G22,(IF(I23=1,G23,(IF(I24=1,G24,"")))))))</f>
        <v/>
      </c>
      <c r="H33" s="8" t="str">
        <f>IF(I21=1,H21,(IF(I22=1,H22,(IF(I23=1,H23,(IF(I24=1,H24,"")))))))</f>
        <v/>
      </c>
      <c r="I33" s="9"/>
      <c r="J33" s="40"/>
      <c r="K33" s="7">
        <f>IF(S21=1,P21,(IF(S22=1,P22,(IF(S23=1,P23,(IF(S24=1,P24,1.3)))))))</f>
        <v>1.3</v>
      </c>
      <c r="L33" s="8" t="str">
        <f>IF(S21=1,Q21,(IF(S22=1,Q22,(IF(S23=1,Q23,(IF(S24=1,Q24,"")))))))</f>
        <v/>
      </c>
      <c r="M33" s="8" t="str">
        <f>IF(S21=1,R21,(IF(S22=1,R22,(IF(S23=1,R23,(IF(S24=1,R24,"")))))))</f>
        <v/>
      </c>
      <c r="N33" s="9"/>
      <c r="O33" s="40"/>
      <c r="P33" s="7">
        <f>IF(I26=1,F26,(IF(I27=1,F27,(IF(I28=1,F28,(IF(I29=1,F29,1.5)))))))</f>
        <v>1.5</v>
      </c>
      <c r="Q33" s="18" t="str">
        <f>IF(I26=1,G26,(IF(I27=1,G27,(IF(I28=1,G28,(IF(I29=1,G29,"")))))))</f>
        <v/>
      </c>
      <c r="R33" s="18" t="str">
        <f>IF(I26=1,H26,(IF(I27=1,H27,(IF(I28=1,H28,(IF(I29=1,H29,"")))))))</f>
        <v/>
      </c>
      <c r="S33" s="9"/>
      <c r="T33" s="40"/>
      <c r="U33" s="7">
        <f>IF(S29=1,P29,(IF(S27=1,P27,(IF(S28=1,P28,(IF(S26=1,P26,1.7)))))))</f>
        <v>1.7</v>
      </c>
      <c r="V33" s="8" t="str">
        <f>IF(S29=1,Q29,(IF(S27=1,Q27,(IF(S28=1,Q28,(IF(S26=1,Q26,"")))))))</f>
        <v/>
      </c>
      <c r="W33" s="8" t="str">
        <f>IF(S29=1,R29,(IF(S27=1,R27,(IF(S28=1,R28,(IF(S26=1,R26,"")))))))</f>
        <v/>
      </c>
      <c r="X33" s="9"/>
      <c r="AK33" s="33" t="str">
        <f t="shared" si="0"/>
        <v>2021evt216</v>
      </c>
      <c r="AL33" s="36">
        <f>IF(X26=4,U26,(IF(X27=4,U27,(IF(X28=4,U28,(IF(X29=4,U29,)))))))</f>
        <v>0</v>
      </c>
      <c r="AM33" s="36">
        <f>IF(X26=4,V26,(IF(X27=4,V27,(IF(X28=4,V28,(IF(X29=4,V29,)))))))</f>
        <v>0</v>
      </c>
      <c r="AN33" s="37">
        <f>IF(X26=4,W26,(IF(X27=4,W27,(IF(X28=4,W28,(IF(X29=4,W29,)))))))</f>
        <v>0</v>
      </c>
      <c r="AO33" s="34">
        <v>25</v>
      </c>
      <c r="AP33" s="34">
        <f>$Q$19</f>
        <v>500</v>
      </c>
      <c r="AQ33" s="42">
        <f>$U$19</f>
        <v>250</v>
      </c>
    </row>
    <row r="34" spans="1:43" ht="13" customHeight="1" x14ac:dyDescent="0.15">
      <c r="A34" s="1">
        <v>24</v>
      </c>
      <c r="B34" s="45" t="s">
        <v>160</v>
      </c>
      <c r="C34" s="43" t="s">
        <v>139</v>
      </c>
      <c r="D34" s="43">
        <v>14432</v>
      </c>
      <c r="E34" s="5" t="str">
        <f>$C$7</f>
        <v>Blue</v>
      </c>
      <c r="F34" s="10">
        <f>IF(S22=2,P22,(IF(S23=2,P23,(IF(S24=2,P24,(IF(S21=2,P21,2.3)))))))</f>
        <v>2.2999999999999998</v>
      </c>
      <c r="G34" s="40" t="str">
        <f>IF(S22=2,Q22,(IF(S23=2,Q23,(IF(S24=2,Q24,(IF(S21=2,Q21,"")))))))</f>
        <v/>
      </c>
      <c r="H34" s="40" t="str">
        <f>IF(S22=2,R22,(IF(S23=2,R23,(IF(S24=2,R24,(IF(S21=2,R21,"")))))))</f>
        <v/>
      </c>
      <c r="I34" s="12"/>
      <c r="J34" s="40"/>
      <c r="K34" s="10">
        <f>IF(I22=2,F22,(IF(I23=2,F23,(IF(I24=2,F24,(IF(I21=2,F21,2.1)))))))</f>
        <v>2.1</v>
      </c>
      <c r="L34" s="40" t="str">
        <f>IF(I22=2,G22,(IF(I23=2,G23,(IF(I24=2,G24,(IF(I21=2,G21,"")))))))</f>
        <v/>
      </c>
      <c r="M34" s="40" t="str">
        <f>IF(I22=2,H22,(IF(I23=2,H23,(IF(I24=2,H24,(IF(I21=2,H21,"")))))))</f>
        <v/>
      </c>
      <c r="N34" s="12"/>
      <c r="O34" s="40"/>
      <c r="P34" s="10">
        <f>IF(S27=2,P27,(IF(S28=2,P28,(IF(S26=2,P26,(IF(S29=2,P29,2.7)))))))</f>
        <v>2.7</v>
      </c>
      <c r="Q34" s="40" t="str">
        <f>IF(S27=2,Q27,(IF(S28=2,Q28,(IF(S26=2,Q26,(IF(S29=2,Q29,"")))))))</f>
        <v/>
      </c>
      <c r="R34" s="40" t="str">
        <f>IF(S27=2,R27,(IF(S28=2,R28,(IF(S26=2,R26,(IF(S29=2,R29,"")))))))</f>
        <v/>
      </c>
      <c r="S34" s="12"/>
      <c r="T34" s="40"/>
      <c r="U34" s="10">
        <f>IF(I29=2,F29,(IF(I28=2,F28,(IF(I26=2,F26,(IF(I27=2,F27,2.5)))))))</f>
        <v>2.5</v>
      </c>
      <c r="V34" s="17" t="str">
        <f>IF(I29=2,G29,(IF(I28=2,G28,(IF(I26=2,G26,(IF(I27=2,G27,"")))))))</f>
        <v/>
      </c>
      <c r="W34" s="17" t="str">
        <f>IF(I29=2,H29,(IF(I28=2,H28,(IF(I26=2,H26,(IF(I27=2,H27,"")))))))</f>
        <v/>
      </c>
      <c r="X34" s="12"/>
      <c r="AK34" s="33" t="str">
        <f t="shared" si="0"/>
        <v>2021evt216</v>
      </c>
      <c r="AL34" s="36">
        <f>IF(S26=4,P26,(IF(S27=4,P27,(IF(S28=4,P28,(IF(S29=4,P29,)))))))</f>
        <v>0</v>
      </c>
      <c r="AM34" s="36">
        <f>IF(S26=4,Q26,(IF(S27=4,Q27,(IF(S28=4,Q28,(IF(S29=4,Q29,)))))))</f>
        <v>0</v>
      </c>
      <c r="AN34" s="37">
        <f>IF(S26=4,R26,(IF(S27=4,R27,(IF(S28=4,R28,(IF(S29=4,R29,)))))))</f>
        <v>0</v>
      </c>
      <c r="AO34" s="34">
        <v>25</v>
      </c>
      <c r="AP34" s="34">
        <f t="shared" ref="AP34:AP40" si="10">$Q$19</f>
        <v>500</v>
      </c>
      <c r="AQ34" s="42">
        <f t="shared" ref="AQ34:AQ40" si="11">$U$19</f>
        <v>250</v>
      </c>
    </row>
    <row r="35" spans="1:43" ht="13" customHeight="1" x14ac:dyDescent="0.15">
      <c r="A35" s="1">
        <v>25</v>
      </c>
      <c r="B35" s="45" t="s">
        <v>161</v>
      </c>
      <c r="C35" s="43" t="s">
        <v>94</v>
      </c>
      <c r="D35" s="43">
        <v>11575</v>
      </c>
      <c r="E35" s="5" t="str">
        <f>$C$8</f>
        <v>White</v>
      </c>
      <c r="F35" s="10">
        <f>IF(N23=1,K23,(IF(N24=1,K24,(IF(N22=1,K22,(IF(N21=1,K21,1.2)))))))</f>
        <v>1.2</v>
      </c>
      <c r="G35" s="40" t="str">
        <f>IF(N23=1,L23,(IF(N24=1,L24,(IF(N22=1,L22,(IF(N21=1,L21,"")))))))</f>
        <v/>
      </c>
      <c r="H35" s="40" t="str">
        <f>IF(N23=1,M23,(IF(N24=1,M24,(IF(N22=1,M22,(IF(N21=1,M21,"")))))))</f>
        <v/>
      </c>
      <c r="I35" s="12"/>
      <c r="J35" s="40"/>
      <c r="K35" s="10">
        <f>IF(X23=1,U23,(IF(X24=1,U24,(IF(X21=1,U21,(IF(X22=1,U22,1.4)))))))</f>
        <v>1.4</v>
      </c>
      <c r="L35" s="40" t="str">
        <f>IF(X23=1,V23,(IF(X24=1,V24,(IF(X21=1,V21,(IF(X22=1,V22,"")))))))</f>
        <v/>
      </c>
      <c r="M35" s="40" t="str">
        <f>IF(X23=1,W23,(IF(X24=1,W24,(IF(X21=1,W21,(IF(X22=1,W22,"")))))))</f>
        <v/>
      </c>
      <c r="N35" s="12"/>
      <c r="O35" s="40"/>
      <c r="P35" s="10">
        <f>IF(N27=1,K27,(IF(N26=1,K26,(IF(N29=1,K29,(IF(N28=1,K28,1.6)))))))</f>
        <v>1.6</v>
      </c>
      <c r="Q35" s="17" t="str">
        <f>IF(N27=1,L27,(IF(N26=1,L26,(IF(N29=1,L29,(IF(N28=1,L28,"")))))))</f>
        <v/>
      </c>
      <c r="R35" s="17" t="str">
        <f>IF(N27=1,M27,(IF(N26=1,M26,(IF(N29=1,M29,(IF(N28=1,M28,"")))))))</f>
        <v/>
      </c>
      <c r="S35" s="12"/>
      <c r="T35" s="40"/>
      <c r="U35" s="10">
        <f>IF(X28=1,U28,(IF(X26=1,U26,(IF(X29=1,U29,(IF(X27=1,U27,1.8)))))))</f>
        <v>1.8</v>
      </c>
      <c r="V35" s="40" t="str">
        <f>IF(X28=1,V28,(IF(X26=1,V26,(IF(X29=1,V29,(IF(X27=1,V27,"")))))))</f>
        <v/>
      </c>
      <c r="W35" s="40" t="str">
        <f>IF(X28=1,W28,(IF(X26=1,W26,(IF(X29=1,W29,(IF(X27=1,W27,"")))))))</f>
        <v/>
      </c>
      <c r="X35" s="12"/>
      <c r="AK35" s="33" t="str">
        <f t="shared" si="0"/>
        <v>2021evt216</v>
      </c>
      <c r="AL35" s="36">
        <f>IF(N26=4,K26,(IF(N27=4,K27,(IF(N28=4,K28,(IF(N29=4,K29,)))))))</f>
        <v>0</v>
      </c>
      <c r="AM35" s="36">
        <f>IF(N26=4,L26,(IF(N27=4,L27,(IF(N28=4,L28,(IF(N29=4,L29,)))))))</f>
        <v>0</v>
      </c>
      <c r="AN35" s="37">
        <f>IF(N26=4,M26,(IF(N27=4,M27,(IF(N28=4,M28,(IF(N29=4,M29,)))))))</f>
        <v>0</v>
      </c>
      <c r="AO35" s="34">
        <v>25</v>
      </c>
      <c r="AP35" s="34">
        <f t="shared" si="10"/>
        <v>500</v>
      </c>
      <c r="AQ35" s="42">
        <f t="shared" si="11"/>
        <v>250</v>
      </c>
    </row>
    <row r="36" spans="1:43" ht="13" customHeight="1" x14ac:dyDescent="0.15">
      <c r="A36" s="1">
        <v>26</v>
      </c>
      <c r="B36" s="45" t="s">
        <v>162</v>
      </c>
      <c r="C36" s="43" t="s">
        <v>72</v>
      </c>
      <c r="D36" s="43">
        <v>10575</v>
      </c>
      <c r="E36" s="5" t="str">
        <f>$C$9</f>
        <v>Green</v>
      </c>
      <c r="F36" s="14">
        <f>IF(X24=2,U24,(IF(X21=2,U21,(IF(X22=2,U22,(IF(X23=2,U23,2.4)))))))</f>
        <v>2.4</v>
      </c>
      <c r="G36" s="15" t="str">
        <f>IF(X24=2,V24,(IF(X21=2,V21,(IF(X22=2,V22,(IF(X23=2,V23,"")))))))</f>
        <v/>
      </c>
      <c r="H36" s="15" t="str">
        <f>IF(X24=2,W24,(IF(X21=2,W21,(IF(X22=2,W22,(IF(X23=2,W23,"")))))))</f>
        <v/>
      </c>
      <c r="I36" s="16"/>
      <c r="J36" s="40"/>
      <c r="K36" s="14">
        <f>IF(N24=2,K24,(IF(N21=2,K21,(IF(N23=2,K23,(IF(N22=2,K22,2.2)))))))</f>
        <v>2.2000000000000002</v>
      </c>
      <c r="L36" s="15" t="str">
        <f>IF(N24=2,L24,(IF(N21=2,L21,(IF(N23=2,L23,(IF(N22=2,L22,"")))))))</f>
        <v/>
      </c>
      <c r="M36" s="15" t="str">
        <f>IF(N24=2,M24,(IF(N21=2,M21,(IF(N23=2,M23,(IF(N22=2,M22,"")))))))</f>
        <v/>
      </c>
      <c r="N36" s="16"/>
      <c r="O36" s="40"/>
      <c r="P36" s="14">
        <f>IF(X26=2,U26,(IF(X29=2,U29,(IF(X27=2,U27,(IF(X28=2,U28,2.8)))))))</f>
        <v>2.8</v>
      </c>
      <c r="Q36" s="15" t="str">
        <f>IF(X26=2,V26,(IF(X29=2,V29,(IF(X27=2,V27,(IF(X28=2,V28,"")))))))</f>
        <v/>
      </c>
      <c r="R36" s="15" t="str">
        <f>IF(X26=2,W26,(IF(X29=2,W29,(IF(X27=2,W27,(IF(X28=2,W28,"")))))))</f>
        <v/>
      </c>
      <c r="S36" s="16"/>
      <c r="T36" s="40"/>
      <c r="U36" s="14">
        <f>IF(N26=2,K26,(IF(N29=2,K29,(IF(N27=2,K27,(IF(N28=2,K28,2.6)))))))</f>
        <v>2.6</v>
      </c>
      <c r="V36" s="20" t="str">
        <f>IF(N26=2,L26,(IF(N29=2,L29,(IF(N27=2,L27,(IF(N28=2,L28,"")))))))</f>
        <v/>
      </c>
      <c r="W36" s="20" t="str">
        <f>IF(N26=2,M26,(IF(N29=2,M29,(IF(N27=2,M27,(IF(N28=2,M28,"")))))))</f>
        <v/>
      </c>
      <c r="X36" s="16"/>
      <c r="AK36" s="33" t="str">
        <f t="shared" si="0"/>
        <v>2021evt216</v>
      </c>
      <c r="AL36" s="36">
        <f>IF(I26=4,F26,(IF(I27=4,F27,(IF(I28=4,F28,(IF(I29=4,F29,)))))))</f>
        <v>0</v>
      </c>
      <c r="AM36" s="36">
        <f>IF(I26=4,G26,(IF(I27=4,G27,(IF(I28=4,G28,(IF(I29=4,G29,)))))))</f>
        <v>0</v>
      </c>
      <c r="AN36" s="37">
        <f>IF(I26=4,H26,(IF(I27=4,H27,(IF(I28=4,H28,(IF(I29=4,H29,)))))))</f>
        <v>0</v>
      </c>
      <c r="AO36" s="34">
        <v>25</v>
      </c>
      <c r="AP36" s="34">
        <f t="shared" si="10"/>
        <v>500</v>
      </c>
      <c r="AQ36" s="42">
        <f t="shared" si="11"/>
        <v>250</v>
      </c>
    </row>
    <row r="37" spans="1:43" ht="13" customHeight="1" x14ac:dyDescent="0.15">
      <c r="A37" s="1">
        <v>27</v>
      </c>
      <c r="B37" s="45" t="s">
        <v>163</v>
      </c>
      <c r="C37" s="43" t="s">
        <v>72</v>
      </c>
      <c r="D37" s="43">
        <v>11052</v>
      </c>
      <c r="E37" s="5" t="s">
        <v>24</v>
      </c>
      <c r="F37" s="40"/>
      <c r="G37" s="40"/>
      <c r="H37" s="40"/>
      <c r="I37" s="40"/>
      <c r="J37" s="1"/>
      <c r="K37" s="40"/>
      <c r="L37" s="40"/>
      <c r="M37" s="40"/>
      <c r="N37" s="40"/>
      <c r="O37" s="40"/>
      <c r="P37" s="40"/>
      <c r="Q37" s="40"/>
      <c r="R37" s="40"/>
      <c r="S37" s="1"/>
      <c r="T37" s="1"/>
      <c r="U37" s="1"/>
      <c r="V37" s="40"/>
      <c r="W37" s="40"/>
      <c r="X37" s="40"/>
      <c r="AK37" s="33" t="str">
        <f t="shared" si="0"/>
        <v>2021evt216</v>
      </c>
      <c r="AL37" s="36">
        <f>IF(X21=4,U21,(IF(X22=4,U22,(IF(X23=4,U23,(IF(X24=4,U24,)))))))</f>
        <v>0</v>
      </c>
      <c r="AM37" s="36">
        <f>IF(X21=4,V21,(IF(X22=4,V22,(IF(X23=4,V23,(IF(X24=4,V24,)))))))</f>
        <v>0</v>
      </c>
      <c r="AN37" s="37">
        <f>IF(X21=4,W21,(IF(X22=4,W22,(IF(X23=4,W23,(IF(X24=4,W24,)))))))</f>
        <v>0</v>
      </c>
      <c r="AO37" s="34">
        <v>25</v>
      </c>
      <c r="AP37" s="34">
        <f t="shared" si="10"/>
        <v>500</v>
      </c>
      <c r="AQ37" s="42">
        <f t="shared" si="11"/>
        <v>250</v>
      </c>
    </row>
    <row r="38" spans="1:43" ht="13" customHeight="1" x14ac:dyDescent="0.15">
      <c r="A38" s="1">
        <v>28</v>
      </c>
      <c r="B38" s="45" t="s">
        <v>164</v>
      </c>
      <c r="C38" s="43" t="s">
        <v>72</v>
      </c>
      <c r="D38" s="43">
        <v>10618</v>
      </c>
      <c r="F38" s="4" t="s">
        <v>49</v>
      </c>
      <c r="G38" s="1">
        <f>IF($E$2=1000,500,IF($E$2=3000,1500,IF($E$2=5000,2500,"")))</f>
        <v>1500</v>
      </c>
      <c r="H38" s="1"/>
      <c r="I38" s="1" t="s">
        <v>6</v>
      </c>
      <c r="J38" s="1"/>
      <c r="K38" s="6">
        <f>IF($C$2=1500,50,IF($C$2=2000,100,IF($C$2=2500,150,IF($C$2=5000,250,IF($C$2=7500,375,IF($C$2=10000,500,IF($C$2=30000,1000,IF($C$2=50000,2000,""))))))))</f>
        <v>1000</v>
      </c>
      <c r="L38" s="17"/>
      <c r="M38" s="17"/>
      <c r="N38" s="1"/>
      <c r="O38" s="1"/>
      <c r="P38" s="6"/>
      <c r="Q38" s="40"/>
      <c r="R38" s="40"/>
      <c r="S38" s="1"/>
      <c r="T38" s="1"/>
      <c r="U38" s="1"/>
      <c r="V38" s="40"/>
      <c r="W38" s="40"/>
      <c r="X38" s="40"/>
      <c r="AK38" s="33" t="str">
        <f t="shared" si="0"/>
        <v>2021evt216</v>
      </c>
      <c r="AL38" s="36">
        <f>IF(S21=4,P21,(IF(S22=4,P22,(IF(S23=4,P23,(IF(S24=4,P24,)))))))</f>
        <v>0</v>
      </c>
      <c r="AM38" s="36">
        <f>IF(S21=4,Q21,(IF(S22=4,Q22,(IF(S23=4,Q23,(IF(S24=4,Q24,)))))))</f>
        <v>0</v>
      </c>
      <c r="AN38" s="37">
        <f>IF(S21=4,R21,(IF(S22=4,R22,(IF(S23=4,R23,(IF(S24=4,R24,)))))))</f>
        <v>0</v>
      </c>
      <c r="AO38" s="34">
        <v>25</v>
      </c>
      <c r="AP38" s="34">
        <f t="shared" si="10"/>
        <v>500</v>
      </c>
      <c r="AQ38" s="42">
        <f t="shared" si="11"/>
        <v>250</v>
      </c>
    </row>
    <row r="39" spans="1:43" ht="13" customHeight="1" x14ac:dyDescent="0.15">
      <c r="A39" s="1">
        <v>29</v>
      </c>
      <c r="B39" s="45" t="s">
        <v>165</v>
      </c>
      <c r="C39" s="43" t="s">
        <v>158</v>
      </c>
      <c r="D39" s="43">
        <v>11854</v>
      </c>
      <c r="F39" s="40" t="s">
        <v>27</v>
      </c>
      <c r="G39" s="40"/>
      <c r="H39" s="40"/>
      <c r="I39" s="40"/>
      <c r="J39" s="40"/>
      <c r="K39" s="40" t="s">
        <v>28</v>
      </c>
      <c r="L39" s="40"/>
      <c r="M39" s="40"/>
      <c r="N39" s="40"/>
      <c r="O39" s="40"/>
      <c r="P39" s="40" t="s">
        <v>29</v>
      </c>
      <c r="Q39" s="17"/>
      <c r="R39" s="17"/>
      <c r="S39" s="40"/>
      <c r="T39" s="40"/>
      <c r="U39" s="40" t="s">
        <v>30</v>
      </c>
      <c r="V39" s="40"/>
      <c r="W39" s="40"/>
      <c r="X39" s="40"/>
      <c r="AK39" s="33" t="str">
        <f t="shared" si="0"/>
        <v>2021evt216</v>
      </c>
      <c r="AL39" s="36">
        <f>IF(N21=4,K21,(IF(N22=4,K22,(IF(N23=4,K23,(IF(N24=4,K24,)))))))</f>
        <v>0</v>
      </c>
      <c r="AM39" s="36">
        <f>IF(N21=4,L21,(IF(N22=4,L22,(IF(N23=4,L23,(IF(N24=4,L24,)))))))</f>
        <v>0</v>
      </c>
      <c r="AN39" s="37">
        <f>IF(N21=4,M21,(IF(N22=4,M22,(IF(N23=4,M23,(IF(N24=4,M24,)))))))</f>
        <v>0</v>
      </c>
      <c r="AO39" s="34">
        <v>25</v>
      </c>
      <c r="AP39" s="34">
        <f t="shared" si="10"/>
        <v>500</v>
      </c>
      <c r="AQ39" s="42">
        <f t="shared" si="11"/>
        <v>250</v>
      </c>
    </row>
    <row r="40" spans="1:43" ht="13" customHeight="1" x14ac:dyDescent="0.15">
      <c r="A40" s="1">
        <v>30</v>
      </c>
      <c r="B40" s="45" t="s">
        <v>166</v>
      </c>
      <c r="C40" s="43" t="s">
        <v>139</v>
      </c>
      <c r="D40" s="43">
        <v>10420</v>
      </c>
      <c r="E40" s="5" t="str">
        <f>$C$6</f>
        <v>Red</v>
      </c>
      <c r="F40" s="7">
        <f>IF(I33=1,F33,(IF(I34=1,F34,(IF(I35=1,F35,(IF(I36=1,F36,1.1)))))))</f>
        <v>1.1000000000000001</v>
      </c>
      <c r="G40" s="8" t="str">
        <f>IF(I33=1,G33,(IF(I34=1,G34,(IF(I35=1,G35,(IF(I36=1,G36,"")))))))</f>
        <v/>
      </c>
      <c r="H40" s="8" t="str">
        <f>IF(I33=1,H33,(IF(I34=1,H34,(IF(I35=1,H35,(IF(I36=1,H36,"")))))))</f>
        <v/>
      </c>
      <c r="I40" s="9"/>
      <c r="J40" s="40"/>
      <c r="K40" s="7">
        <f>IF(I33=2,F33,(IF(I34=2,F34,(IF(I35=2,F35,(IF(I36=2,F36,2.1)))))))</f>
        <v>2.1</v>
      </c>
      <c r="L40" s="8" t="str">
        <f>IF(I33=2,G33,(IF(I34=2,G34,(IF(I35=2,G35,(IF(I36=2,G36,"")))))))</f>
        <v/>
      </c>
      <c r="M40" s="8" t="str">
        <f>IF(I33=2,H33,(IF(I34=2,H34,(IF(I35=2,H35,(IF(I36=2,H36,"")))))))</f>
        <v/>
      </c>
      <c r="N40" s="9"/>
      <c r="O40" s="40"/>
      <c r="P40" s="7">
        <f>IF(S33=1,P33,(IF(S34=1,P34,(IF(S35=1,P35,(IF(S36=1,P36,1.3)))))))</f>
        <v>1.3</v>
      </c>
      <c r="Q40" s="8" t="str">
        <f>IF(S33=1,Q33,(IF(S34=1,Q34,(IF(S35=1,Q35,(IF(S36=1,Q36,"")))))))</f>
        <v/>
      </c>
      <c r="R40" s="8" t="str">
        <f>IF(S33=1,R33,(IF(S34=1,R34,(IF(S35=1,R35,(IF(S36=1,R36,"")))))))</f>
        <v/>
      </c>
      <c r="S40" s="9"/>
      <c r="T40" s="40"/>
      <c r="U40" s="7">
        <f>IF(S33=2,P33,(IF(S34=2,P34,(IF(S35=2,P35,(IF(S36=2,P36,2.3)))))))</f>
        <v>2.2999999999999998</v>
      </c>
      <c r="V40" s="8" t="str">
        <f>IF(S33=2,Q33,(IF(S34=2,Q34,(IF(S35=2,Q35,(IF(S36=2,Q36,"")))))))</f>
        <v/>
      </c>
      <c r="W40" s="8" t="str">
        <f>IF(S33=2,R33,(IF(S34=2,R34,(IF(S35=2,R35,(IF(S36=2,R36,"")))))))</f>
        <v/>
      </c>
      <c r="X40" s="9"/>
      <c r="AK40" s="33" t="str">
        <f t="shared" si="0"/>
        <v>2021evt216</v>
      </c>
      <c r="AL40" s="36">
        <f>IF(I21=4,F21,(IF(I22=4,F22,(IF(I23=4,F23,(IF(I24=4,F24,)))))))</f>
        <v>0</v>
      </c>
      <c r="AM40" s="36">
        <f>IF(I21=4,G21,(IF(I22=4,G22,(IF(I23=4,G23,(IF(I24=4,G24,)))))))</f>
        <v>0</v>
      </c>
      <c r="AN40" s="37">
        <f>IF(I21=4,H21,(IF(I22=4,H22,(IF(I23=4,H23,(IF(I24=4,H24,)))))))</f>
        <v>0</v>
      </c>
      <c r="AO40" s="34">
        <v>25</v>
      </c>
      <c r="AP40" s="34">
        <f t="shared" si="10"/>
        <v>500</v>
      </c>
      <c r="AQ40" s="42">
        <f t="shared" si="11"/>
        <v>250</v>
      </c>
    </row>
    <row r="41" spans="1:43" ht="13" customHeight="1" x14ac:dyDescent="0.15">
      <c r="A41" s="1">
        <v>31</v>
      </c>
      <c r="B41" s="45" t="s">
        <v>167</v>
      </c>
      <c r="C41" s="43" t="s">
        <v>168</v>
      </c>
      <c r="D41" s="43">
        <v>8615</v>
      </c>
      <c r="E41" s="5" t="str">
        <f>$C$7</f>
        <v>Blue</v>
      </c>
      <c r="F41" s="14">
        <f>IF(N34=2,K34,(IF(N35=2,K35,(IF(N36=2,K36,(IF(N33=2,K33,2.2)))))))</f>
        <v>2.2000000000000002</v>
      </c>
      <c r="G41" s="15" t="str">
        <f>IF(N34=2,L34,(IF(N35=2,L35,(IF(N36=2,L36,(IF(N33=2,L33,"")))))))</f>
        <v/>
      </c>
      <c r="H41" s="15" t="str">
        <f>IF(N34=2,M34,(IF(N35=2,M35,(IF(N36=2,M36,(IF(N33=2,M33,"")))))))</f>
        <v/>
      </c>
      <c r="I41" s="16"/>
      <c r="J41" s="40"/>
      <c r="K41" s="14">
        <f>IF(N34=1,K34,(IF(N35=1,K35,(IF(N36=1,K36,(IF(N33=1,K33,1.2)))))))</f>
        <v>1.2</v>
      </c>
      <c r="L41" s="15" t="str">
        <f>IF(N34=1,L34,(IF(N35=1,L35,(IF(N36=1,L36,(IF(N33=1,L33,"")))))))</f>
        <v/>
      </c>
      <c r="M41" s="15" t="str">
        <f>IF(N34=1,M34,(IF(N35=1,M35,(IF(N36=1,M36,(IF(N33=1,M33,"")))))))</f>
        <v/>
      </c>
      <c r="N41" s="16"/>
      <c r="O41" s="40"/>
      <c r="P41" s="14">
        <f>IF(X34=2,U34,(IF(X35=2,U35,(IF(X36=2,U36,(IF(X33=2,U33,2.4)))))))</f>
        <v>2.4</v>
      </c>
      <c r="Q41" s="15" t="str">
        <f>IF(X34=2,V34,(IF(X35=2,V35,(IF(X36=2,V36,(IF(X33=2,V33,"")))))))</f>
        <v/>
      </c>
      <c r="R41" s="15" t="str">
        <f>IF(X34=2,W34,(IF(X35=2,W35,(IF(X36=2,W36,(IF(X33=2,W33,"")))))))</f>
        <v/>
      </c>
      <c r="S41" s="16"/>
      <c r="T41" s="40"/>
      <c r="U41" s="14">
        <f>IF(X34=1,U34,(IF(X35=1,U35,(IF(X36=1,U36,(IF(X33=1,U33,1.4)))))))</f>
        <v>1.4</v>
      </c>
      <c r="V41" s="15" t="str">
        <f>IF(X34=1,V34,(IF(X35=1,V35,(IF(X36=1,V36,(IF(X33=1,V33,"")))))))</f>
        <v/>
      </c>
      <c r="W41" s="15" t="str">
        <f>IF(X34=1,W34,(IF(X35=1,W35,(IF(X36=1,W36,(IF(X33=1,W33,"")))))))</f>
        <v/>
      </c>
      <c r="X41" s="16"/>
      <c r="AK41" s="33" t="str">
        <f t="shared" si="0"/>
        <v>2021evt216</v>
      </c>
      <c r="AL41" s="36">
        <f>IF(X14=3,U14,(IF(X15=3,U15,(IF(X16=3,U16,(IF(X17=3,U17,)))))))</f>
        <v>0</v>
      </c>
      <c r="AM41" s="36">
        <f>IF(X14=3,V14,(IF(X15=3,V15,(IF(X16=3,V16,(IF(X17=3,V17,)))))))</f>
        <v>0</v>
      </c>
      <c r="AN41" s="37">
        <f>IF(X14=3,W14,(IF(X15=3,W15,(IF(X16=3,W16,(IF(X17=3,W17,)))))))</f>
        <v>0</v>
      </c>
      <c r="AO41" s="34">
        <v>33</v>
      </c>
      <c r="AP41" s="34">
        <f>$G$7</f>
        <v>200</v>
      </c>
      <c r="AQ41" s="42">
        <f>$K$7</f>
        <v>0</v>
      </c>
    </row>
    <row r="42" spans="1:43" ht="13" customHeight="1" x14ac:dyDescent="0.15">
      <c r="A42" s="1">
        <v>32</v>
      </c>
      <c r="B42" s="45" t="s">
        <v>169</v>
      </c>
      <c r="C42" s="43" t="s">
        <v>118</v>
      </c>
      <c r="D42" s="43">
        <v>9580</v>
      </c>
      <c r="E42" s="5" t="s">
        <v>31</v>
      </c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AK42" s="33" t="str">
        <f t="shared" si="0"/>
        <v>2021evt216</v>
      </c>
      <c r="AL42" s="36">
        <f>IF(S14=3,P14,(IF(S15=3,P15,(IF(S16=3,P16,(IF(S17=3,P17,)))))))</f>
        <v>0</v>
      </c>
      <c r="AM42" s="36">
        <f>IF(S14=3,Q14,(IF(S15=3,Q15,(IF(S16=3,Q16,(IF(S17=3,Q17,)))))))</f>
        <v>0</v>
      </c>
      <c r="AN42" s="37">
        <f>IF(S14=3,R14,(IF(S15=3,R15,(IF(S16=3,R16,(IF(S17=3,R17,)))))))</f>
        <v>0</v>
      </c>
      <c r="AO42" s="35">
        <v>33</v>
      </c>
      <c r="AP42" s="34">
        <f t="shared" ref="AP42:AP48" si="12">$G$7</f>
        <v>200</v>
      </c>
      <c r="AQ42" s="42">
        <f t="shared" ref="AQ42:AQ48" si="13">$K$7</f>
        <v>0</v>
      </c>
    </row>
    <row r="43" spans="1:43" ht="13" customHeight="1" x14ac:dyDescent="0.15">
      <c r="A43" s="1">
        <v>33</v>
      </c>
      <c r="B43" s="45" t="s">
        <v>170</v>
      </c>
      <c r="C43" s="43" t="s">
        <v>171</v>
      </c>
      <c r="D43" s="43">
        <v>12487</v>
      </c>
      <c r="F43" s="4" t="s">
        <v>50</v>
      </c>
      <c r="G43" s="1">
        <f>IF($E$2=1000,650,IF($E$2=3000,1950,IF($E$2=5000,3250,"")))</f>
        <v>1950</v>
      </c>
      <c r="H43" s="1"/>
      <c r="I43" s="1" t="s">
        <v>6</v>
      </c>
      <c r="J43" s="1"/>
      <c r="K43" s="6">
        <f>IF($C$2=1500,100,IF($C$2=2000,150,IF($C$2=2500,250,IF($C$2=5000,550,IF($C$2=7500,700,IF($C$2=10000,1000,IF($C$2=30000,2000,IF($C$2=50000,2500,""))))))))</f>
        <v>2000</v>
      </c>
      <c r="L43" s="40"/>
      <c r="M43" s="40"/>
      <c r="N43" s="40"/>
      <c r="O43" s="40"/>
      <c r="P43" s="40"/>
      <c r="Q43" s="17"/>
      <c r="R43" s="17"/>
      <c r="S43" s="40"/>
      <c r="T43" s="40"/>
      <c r="U43" s="40"/>
      <c r="V43" s="40"/>
      <c r="W43" s="40"/>
      <c r="X43" s="40"/>
      <c r="AK43" s="33" t="str">
        <f t="shared" si="0"/>
        <v>2021evt216</v>
      </c>
      <c r="AL43" s="36">
        <f>IF(N14=3,K14,(IF(N15=3,K15,(IF(N16=3,K16,(IF(N17=3,K17,)))))))</f>
        <v>0</v>
      </c>
      <c r="AM43" s="36">
        <f>IF(N14=3,L14,(IF(N15=3,L15,(IF(N16=3,L16,(IF(N17=3,L17,)))))))</f>
        <v>0</v>
      </c>
      <c r="AN43" s="37">
        <f>IF(N14=3,M14,(IF(N15=3,M15,(IF(N16=3,M16,(IF(N17=3,M17,)))))))</f>
        <v>0</v>
      </c>
      <c r="AO43" s="35">
        <v>33</v>
      </c>
      <c r="AP43" s="34">
        <f t="shared" si="12"/>
        <v>200</v>
      </c>
      <c r="AQ43" s="42">
        <f t="shared" si="13"/>
        <v>0</v>
      </c>
    </row>
    <row r="44" spans="1:43" ht="13" customHeight="1" x14ac:dyDescent="0.15">
      <c r="A44" s="1">
        <v>34</v>
      </c>
      <c r="B44" s="45" t="s">
        <v>172</v>
      </c>
      <c r="C44" s="43" t="s">
        <v>72</v>
      </c>
      <c r="D44" s="43">
        <v>9539</v>
      </c>
      <c r="F44" s="40" t="s">
        <v>32</v>
      </c>
      <c r="G44" s="40"/>
      <c r="H44" s="40"/>
      <c r="I44" s="40"/>
      <c r="J44" s="40"/>
      <c r="K44" s="40" t="s">
        <v>33</v>
      </c>
      <c r="L44" s="40"/>
      <c r="M44" s="40"/>
      <c r="N44" s="40"/>
      <c r="O44" s="40"/>
      <c r="P44" s="1"/>
      <c r="Q44" s="21"/>
      <c r="R44" s="21"/>
      <c r="S44" s="1"/>
      <c r="T44" s="40"/>
      <c r="U44" s="40" t="s">
        <v>34</v>
      </c>
      <c r="V44" s="40"/>
      <c r="W44" s="40"/>
      <c r="X44" s="40"/>
      <c r="AK44" s="33" t="str">
        <f t="shared" si="0"/>
        <v>2021evt216</v>
      </c>
      <c r="AL44" s="36">
        <f>IF(I14=3,F14,(IF(I15=3,F15,(IF(I16=3,F16,(IF(I17=3,F17,)))))))</f>
        <v>0</v>
      </c>
      <c r="AM44" s="36">
        <f>IF(I14=3,G14,(IF(I15=3,G15,(IF(I16=3,G16,(IF(I17=3,G17,)))))))</f>
        <v>0</v>
      </c>
      <c r="AN44" s="37">
        <f>IF(I14=3,H14,(IF(I15=3,H15,(IF(I16=3,H16,(IF(I17=3,H17,)))))))</f>
        <v>0</v>
      </c>
      <c r="AO44" s="35">
        <v>33</v>
      </c>
      <c r="AP44" s="34">
        <f t="shared" si="12"/>
        <v>200</v>
      </c>
      <c r="AQ44" s="42">
        <f t="shared" si="13"/>
        <v>0</v>
      </c>
    </row>
    <row r="45" spans="1:43" ht="13" customHeight="1" x14ac:dyDescent="0.15">
      <c r="A45" s="1">
        <v>35</v>
      </c>
      <c r="B45" s="45" t="s">
        <v>173</v>
      </c>
      <c r="C45" s="43" t="s">
        <v>143</v>
      </c>
      <c r="D45" s="43">
        <v>13103</v>
      </c>
      <c r="E45" s="5" t="str">
        <f>$C$6</f>
        <v>Red</v>
      </c>
      <c r="F45" s="7">
        <f>IF(I40=1,F40,(IF(I41=1,F41,1.1)))</f>
        <v>1.1000000000000001</v>
      </c>
      <c r="G45" s="8" t="str">
        <f>IF(I40=1,G40,(IF(I41=1,G41,"")))</f>
        <v/>
      </c>
      <c r="H45" s="8" t="str">
        <f>IF(I40=1,H40,(IF(I41=1,H41,"")))</f>
        <v/>
      </c>
      <c r="I45" s="9"/>
      <c r="J45" s="40"/>
      <c r="K45" s="7">
        <f>IF(S40=1,P40,(IF(S41=1,P41,1.3)))</f>
        <v>1.3</v>
      </c>
      <c r="L45" s="8" t="str">
        <f>IF(S40=1,Q40,(IF(S41=1,Q41,"")))</f>
        <v/>
      </c>
      <c r="M45" s="8" t="str">
        <f>IF(S40=1,R40,(IF(S41=1,R41,"")))</f>
        <v/>
      </c>
      <c r="N45" s="9"/>
      <c r="O45" s="40"/>
      <c r="P45" s="22" t="str">
        <f>IF(X45=1,L48,IF(X45=2,L49,""))</f>
        <v/>
      </c>
      <c r="Q45" s="17" t="str">
        <f>IF(X45=1,K48,IF(X45=2,K49,""))</f>
        <v/>
      </c>
      <c r="R45" s="17"/>
      <c r="S45" s="1" t="s">
        <v>6</v>
      </c>
      <c r="T45" s="1" t="str">
        <f>IF(X45=1,O48,IF(X45=2,O49,IF(X45=3,O50,IF(X45=4,O51,O48))))</f>
        <v>1st</v>
      </c>
      <c r="U45" s="7">
        <f>IF(I45=1,F45,(IF(I46=1,F46,1.1)))</f>
        <v>1.1000000000000001</v>
      </c>
      <c r="V45" s="8" t="str">
        <f>IF(I45=1,G45,(IF(I46=1,G46,"")))</f>
        <v/>
      </c>
      <c r="W45" s="8" t="str">
        <f>IF(I45=1,H45,(IF(I46=1,H46,"")))</f>
        <v/>
      </c>
      <c r="X45" s="9"/>
      <c r="AK45" s="33" t="str">
        <f t="shared" si="0"/>
        <v>2021evt216</v>
      </c>
      <c r="AL45" s="36">
        <f>IF(X9=3,U9,(IF(X10=3,U10,(IF(X11=3,U11,(IF(X12=3,U12,)))))))</f>
        <v>0</v>
      </c>
      <c r="AM45" s="36">
        <f>IF(X9=3,V9,(IF(X10=3,V10,(IF(X11=3,V11,(IF(X12=3,V12,)))))))</f>
        <v>0</v>
      </c>
      <c r="AN45" s="37">
        <f>IF(X9=3,W9,(IF(X10=3,W10,(IF(X11=3,W11,(IF(X12=3,W12,)))))))</f>
        <v>0</v>
      </c>
      <c r="AO45" s="35">
        <v>33</v>
      </c>
      <c r="AP45" s="34">
        <f t="shared" si="12"/>
        <v>200</v>
      </c>
      <c r="AQ45" s="42">
        <f t="shared" si="13"/>
        <v>0</v>
      </c>
    </row>
    <row r="46" spans="1:43" ht="13" customHeight="1" x14ac:dyDescent="0.15">
      <c r="A46" s="1">
        <v>36</v>
      </c>
      <c r="B46" s="45" t="s">
        <v>174</v>
      </c>
      <c r="C46" s="43" t="s">
        <v>94</v>
      </c>
      <c r="D46" s="43">
        <v>13427</v>
      </c>
      <c r="E46" s="5" t="str">
        <f>$C$7</f>
        <v>Blue</v>
      </c>
      <c r="F46" s="14">
        <f>IF(N41=1,K41,(IF(N40=1,K40,1.2)))</f>
        <v>1.2</v>
      </c>
      <c r="G46" s="15" t="str">
        <f>IF(N41=1,L41,(IF(N40=1,L40,"")))</f>
        <v/>
      </c>
      <c r="H46" s="15" t="str">
        <f>IF(N41=1,M41,(IF(N40=1,M40,"")))</f>
        <v/>
      </c>
      <c r="I46" s="16"/>
      <c r="J46" s="40"/>
      <c r="K46" s="14">
        <f>IF(X41=1,U41,(IF(X40=1,U40,1.4)))</f>
        <v>1.4</v>
      </c>
      <c r="L46" s="15" t="str">
        <f>IF(X41=1,V41,(IF(X40=1,V40,"")))</f>
        <v/>
      </c>
      <c r="M46" s="15" t="str">
        <f>IF(X41=1,W41,(IF(X40=1,W40,"")))</f>
        <v/>
      </c>
      <c r="N46" s="16"/>
      <c r="O46" s="40"/>
      <c r="P46" s="22" t="str">
        <f>IF(X46=1,L48,IF(X46=2,L49,""))</f>
        <v/>
      </c>
      <c r="Q46" s="17" t="str">
        <f>IF(X46=1,K48,IF(X46=2,K49,""))</f>
        <v/>
      </c>
      <c r="R46" s="17"/>
      <c r="S46" s="1" t="s">
        <v>6</v>
      </c>
      <c r="T46" s="1" t="str">
        <f>IF(X46=1,O48,IF(X46=2,O49,IF(X46=3,O51,IF(X46=4,O52,O49))))</f>
        <v>2nd</v>
      </c>
      <c r="U46" s="14">
        <f>IF(N46=1,K46,(IF(N45=1,K45,1.2)))</f>
        <v>1.2</v>
      </c>
      <c r="V46" s="15" t="str">
        <f>IF(N46=1,L46,(IF(N45=1,L45,"")))</f>
        <v/>
      </c>
      <c r="W46" s="15" t="str">
        <f>IF(N46=1,M46,(IF(N45=1,M45,"")))</f>
        <v/>
      </c>
      <c r="X46" s="16"/>
      <c r="AK46" s="33" t="str">
        <f t="shared" si="0"/>
        <v>2021evt216</v>
      </c>
      <c r="AL46" s="36">
        <f>IF(S9=3,P9,(IF(S10=3,P10,(IF(S11=3,P11,(IF(S12=3,P12,)))))))</f>
        <v>0</v>
      </c>
      <c r="AM46" s="36">
        <f>IF(S9=3,Q9,(IF(S10=3,Q10,(IF(S11=3,Q11,(IF(S12=3,Q12,)))))))</f>
        <v>0</v>
      </c>
      <c r="AN46" s="37">
        <f>IF(S9=3,R9,(IF(S10=3,R10,(IF(S11=3,R11,(IF(S12=3,R12,)))))))</f>
        <v>0</v>
      </c>
      <c r="AO46" s="35">
        <v>33</v>
      </c>
      <c r="AP46" s="34">
        <f t="shared" si="12"/>
        <v>200</v>
      </c>
      <c r="AQ46" s="42">
        <f t="shared" si="13"/>
        <v>0</v>
      </c>
    </row>
    <row r="47" spans="1:43" ht="13" customHeight="1" x14ac:dyDescent="0.15">
      <c r="A47" s="1">
        <v>37</v>
      </c>
      <c r="B47" s="45" t="s">
        <v>175</v>
      </c>
      <c r="C47" s="43" t="s">
        <v>72</v>
      </c>
      <c r="D47" s="43">
        <v>10756</v>
      </c>
      <c r="F47" s="40"/>
      <c r="G47" s="40"/>
      <c r="H47" s="40"/>
      <c r="I47" s="40"/>
      <c r="J47" s="40"/>
      <c r="K47" s="40"/>
      <c r="L47" s="40" t="s">
        <v>34</v>
      </c>
      <c r="M47" s="40"/>
      <c r="N47" s="40"/>
      <c r="O47" s="40"/>
      <c r="P47" s="1"/>
      <c r="Q47" s="17"/>
      <c r="R47" s="17"/>
      <c r="S47" s="1"/>
      <c r="T47" s="40"/>
      <c r="U47" s="40"/>
      <c r="V47" s="40"/>
      <c r="W47" s="40"/>
      <c r="X47" s="40"/>
      <c r="AK47" s="33" t="str">
        <f t="shared" si="0"/>
        <v>2021evt216</v>
      </c>
      <c r="AL47" s="36">
        <f>IF(N9=3,K9,(IF(N10=3,K10,(IF(N11=3,K11,(IF(N12=3,K12,)))))))</f>
        <v>0</v>
      </c>
      <c r="AM47" s="36">
        <f>IF(N9=3,L9,(IF(N10=3,L10,(IF(N11=3,L11,(IF(N12=3,L12,)))))))</f>
        <v>0</v>
      </c>
      <c r="AN47" s="37">
        <f>IF(N9=3,M9,(IF(N10=3,M10,(IF(N11=3,M11,(IF(N12=3,M12,)))))))</f>
        <v>0</v>
      </c>
      <c r="AO47" s="35">
        <v>33</v>
      </c>
      <c r="AP47" s="34">
        <f t="shared" si="12"/>
        <v>200</v>
      </c>
      <c r="AQ47" s="42">
        <f t="shared" si="13"/>
        <v>0</v>
      </c>
    </row>
    <row r="48" spans="1:43" ht="13" customHeight="1" x14ac:dyDescent="0.15">
      <c r="A48" s="1">
        <v>38</v>
      </c>
      <c r="B48" s="45" t="s">
        <v>176</v>
      </c>
      <c r="C48" s="43" t="s">
        <v>72</v>
      </c>
      <c r="D48" s="43">
        <v>12644</v>
      </c>
      <c r="F48" s="40"/>
      <c r="G48" s="40"/>
      <c r="H48" s="40"/>
      <c r="I48" s="40"/>
      <c r="J48" s="40"/>
      <c r="K48" s="1">
        <f>IF($E$2=1000,1000,IF($E$2=3000,3000,IF($E$2=5000,5000,"")))</f>
        <v>3000</v>
      </c>
      <c r="L48" s="25">
        <f>IF($C$2=1500,750,IF($C$2=2000,900,IF($C$2=2500,1000,IF($C$2=5000,2000,IF($C$2=7500,2000,IF($C$2=10000,2500,IF($C$2=30000,8000,IF($C$2=50000,10000,""))))))))</f>
        <v>8000</v>
      </c>
      <c r="M48" s="25"/>
      <c r="N48" s="1" t="s">
        <v>6</v>
      </c>
      <c r="O48" s="40" t="s">
        <v>35</v>
      </c>
      <c r="P48" s="1"/>
      <c r="Q48" s="17"/>
      <c r="R48" s="17"/>
      <c r="S48" s="1"/>
      <c r="T48" s="40"/>
      <c r="U48" s="40"/>
      <c r="V48" s="40"/>
      <c r="W48" s="40"/>
      <c r="X48" s="40"/>
      <c r="AK48" s="33" t="str">
        <f t="shared" si="0"/>
        <v>2021evt216</v>
      </c>
      <c r="AL48" s="36">
        <f>IF(I9=3,F9,(IF(I10=3,F10,(IF(I11=3,F11,(IF(I12=3,F12,)))))))</f>
        <v>0</v>
      </c>
      <c r="AM48" s="36">
        <f>IF(I9=3,G9,(IF(I10=3,G10,(IF(I11=3,G11,(IF(I12=3,G12,)))))))</f>
        <v>0</v>
      </c>
      <c r="AN48" s="37">
        <f>IF(I9=3,H9,(IF(I10=3,H10,(IF(I11=3,H11,(IF(I12=3,H12,)))))))</f>
        <v>0</v>
      </c>
      <c r="AO48" s="35">
        <v>33</v>
      </c>
      <c r="AP48" s="34">
        <f t="shared" si="12"/>
        <v>200</v>
      </c>
      <c r="AQ48" s="42">
        <f t="shared" si="13"/>
        <v>0</v>
      </c>
    </row>
    <row r="49" spans="1:43" ht="13" customHeight="1" x14ac:dyDescent="0.15">
      <c r="A49" s="1">
        <v>39</v>
      </c>
      <c r="B49" s="45" t="s">
        <v>177</v>
      </c>
      <c r="C49" s="43" t="s">
        <v>178</v>
      </c>
      <c r="D49" s="43">
        <v>9250</v>
      </c>
      <c r="F49" s="40"/>
      <c r="G49" s="40"/>
      <c r="H49" s="40"/>
      <c r="I49" s="40"/>
      <c r="J49" s="40"/>
      <c r="K49" s="1">
        <f>IF($E$2=1000,800,IF($E$2=3000,2400,IF($E$2=5000,4000,"")))</f>
        <v>2400</v>
      </c>
      <c r="L49" s="25">
        <f>IF($C$2=1500,350,IF($C$2=2000,400,IF($C$2=2500,400,IF($C$2=5000,900,IF($C$2=7500,1000,IF($C$2=10000,1500,IF($C$2=30000,4000,IF($C$2=50000,5000,""))))))))</f>
        <v>4000</v>
      </c>
      <c r="M49" s="25"/>
      <c r="N49" s="1" t="s">
        <v>6</v>
      </c>
      <c r="O49" s="40" t="s">
        <v>36</v>
      </c>
      <c r="P49" s="1"/>
      <c r="Q49" s="17"/>
      <c r="R49" s="17"/>
      <c r="S49" s="1"/>
      <c r="T49" s="40"/>
      <c r="U49" s="40"/>
      <c r="V49" s="40"/>
      <c r="W49" s="40"/>
      <c r="X49" s="40"/>
      <c r="AK49" s="33" t="str">
        <f t="shared" si="0"/>
        <v>2021evt216</v>
      </c>
      <c r="AL49" s="36">
        <f>IF(X14=4,U14,(IF(X15=4,U15,(IF(X16=4,U16,(IF(X17=4,U17,)))))))</f>
        <v>0</v>
      </c>
      <c r="AM49" s="36">
        <f>IF(X14=4,V14,(IF(X15=4,V15,(IF(X16=4,V16,(IF(X17=4,V17,)))))))</f>
        <v>0</v>
      </c>
      <c r="AN49" s="37">
        <f>IF(X14=4,W14,(IF(X15=4,W15,(IF(X16=4,W16,(IF(X17=4,W17,)))))))</f>
        <v>0</v>
      </c>
      <c r="AO49" s="35">
        <v>41</v>
      </c>
      <c r="AP49" s="34">
        <f>$Q$7</f>
        <v>190</v>
      </c>
      <c r="AQ49" s="42">
        <f>$U$7</f>
        <v>0</v>
      </c>
    </row>
    <row r="50" spans="1:43" ht="13" customHeight="1" x14ac:dyDescent="0.15">
      <c r="A50" s="1">
        <v>40</v>
      </c>
      <c r="B50" s="45" t="s">
        <v>179</v>
      </c>
      <c r="C50" s="43" t="s">
        <v>94</v>
      </c>
      <c r="D50" s="43">
        <v>12571</v>
      </c>
      <c r="F50" s="40"/>
      <c r="G50" s="40"/>
      <c r="H50" s="40"/>
      <c r="I50" s="40"/>
      <c r="J50" s="40"/>
      <c r="K50" s="1"/>
      <c r="L50" s="1"/>
      <c r="M50" s="1"/>
      <c r="N50" s="1"/>
      <c r="O50" s="40"/>
      <c r="P50" s="1"/>
      <c r="Q50" s="17"/>
      <c r="R50" s="17"/>
      <c r="S50" s="1"/>
      <c r="T50" s="40"/>
      <c r="U50" s="40"/>
      <c r="V50" s="40"/>
      <c r="W50" s="40"/>
      <c r="X50" s="40"/>
      <c r="AK50" s="33" t="str">
        <f t="shared" si="0"/>
        <v>2021evt216</v>
      </c>
      <c r="AL50" s="36">
        <f>IF(S14=4,P14,(IF(S15=4,P15,(IF(S16=4,P16,(IF(S17=4,P17,)))))))</f>
        <v>0</v>
      </c>
      <c r="AM50" s="36">
        <f>IF(S14=4,Q14,(IF(S15=4,Q15,(IF(S16=4,Q16,(IF(S17=4,Q17,)))))))</f>
        <v>0</v>
      </c>
      <c r="AN50" s="37">
        <f>IF(S14=4,R14,(IF(S15=4,R15,(IF(S16=4,R16,(IF(S17=4,R17,)))))))</f>
        <v>0</v>
      </c>
      <c r="AO50" s="35">
        <v>41</v>
      </c>
      <c r="AP50" s="34">
        <f t="shared" ref="AP50:AP56" si="14">$Q$7</f>
        <v>190</v>
      </c>
      <c r="AQ50" s="42">
        <f t="shared" ref="AQ50:AQ56" si="15">$U$7</f>
        <v>0</v>
      </c>
    </row>
    <row r="51" spans="1:43" ht="13" customHeight="1" x14ac:dyDescent="0.15">
      <c r="A51" s="1">
        <v>41</v>
      </c>
      <c r="B51" s="45" t="s">
        <v>180</v>
      </c>
      <c r="C51" s="43" t="s">
        <v>141</v>
      </c>
      <c r="D51" s="43">
        <v>14148</v>
      </c>
      <c r="AK51" s="33" t="str">
        <f t="shared" si="0"/>
        <v>2021evt216</v>
      </c>
      <c r="AL51" s="36">
        <f>IF(N14=4,K14,(IF(N15=4,K15,(IF(N16=4,K16,(IF(N17=4,K17,)))))))</f>
        <v>0</v>
      </c>
      <c r="AM51" s="36">
        <f>IF(N14=4,L14,(IF(N15=4,L15,(IF(N16=4,L16,(IF(N17=4,L17,)))))))</f>
        <v>0</v>
      </c>
      <c r="AN51" s="37">
        <f>IF(N14=4,M14,(IF(N15=4,M15,(IF(N16=4,M16,(IF(N17=4,M17,)))))))</f>
        <v>0</v>
      </c>
      <c r="AO51" s="35">
        <v>41</v>
      </c>
      <c r="AP51" s="34">
        <f t="shared" si="14"/>
        <v>190</v>
      </c>
      <c r="AQ51" s="42">
        <f t="shared" si="15"/>
        <v>0</v>
      </c>
    </row>
    <row r="52" spans="1:43" ht="13" customHeight="1" x14ac:dyDescent="0.15">
      <c r="A52" s="1">
        <v>42</v>
      </c>
      <c r="B52" s="45" t="s">
        <v>181</v>
      </c>
      <c r="C52" s="43" t="s">
        <v>72</v>
      </c>
      <c r="D52" s="43">
        <v>896</v>
      </c>
      <c r="AK52" s="33" t="str">
        <f t="shared" si="0"/>
        <v>2021evt216</v>
      </c>
      <c r="AL52" s="36">
        <f>IF(I14=4,F14,(IF(I15=4,F15,(IF(I16=4,F16,(IF(I17=4,F17,)))))))</f>
        <v>0</v>
      </c>
      <c r="AM52" s="36">
        <f>IF(I14=4,G14,(IF(I15=4,G15,(IF(I16=4,G16,(IF(I17=4,G17,)))))))</f>
        <v>0</v>
      </c>
      <c r="AN52" s="37">
        <f>IF(I14=4,H14,(IF(I15=4,H15,(IF(I16=4,H16,(IF(I17=4,H17,)))))))</f>
        <v>0</v>
      </c>
      <c r="AO52" s="35">
        <v>41</v>
      </c>
      <c r="AP52" s="34">
        <f t="shared" si="14"/>
        <v>190</v>
      </c>
      <c r="AQ52" s="42">
        <f t="shared" si="15"/>
        <v>0</v>
      </c>
    </row>
    <row r="53" spans="1:43" ht="13" customHeight="1" x14ac:dyDescent="0.15">
      <c r="A53" s="1">
        <v>43</v>
      </c>
      <c r="B53" s="45" t="s">
        <v>182</v>
      </c>
      <c r="C53" s="43" t="s">
        <v>72</v>
      </c>
      <c r="D53" s="43">
        <v>14699</v>
      </c>
      <c r="AK53" s="33" t="str">
        <f t="shared" si="0"/>
        <v>2021evt216</v>
      </c>
      <c r="AL53" s="36">
        <f>IF(X9=4,U9,(IF(X10=4,U10,(IF(X11=4,U11,(IF(X12=4,U12,)))))))</f>
        <v>0</v>
      </c>
      <c r="AM53" s="36">
        <f>IF(X9=4,V9,(IF(X10=4,V10,(IF(X11=4,V11,(IF(X12=4,V12,)))))))</f>
        <v>0</v>
      </c>
      <c r="AN53" s="37">
        <f>IF(X9=4,W9,(IF(X10=4,W10,(IF(X11=4,W11,(IF(X12=4,W12,)))))))</f>
        <v>0</v>
      </c>
      <c r="AO53" s="35">
        <v>41</v>
      </c>
      <c r="AP53" s="34">
        <f t="shared" si="14"/>
        <v>190</v>
      </c>
      <c r="AQ53" s="42">
        <f t="shared" si="15"/>
        <v>0</v>
      </c>
    </row>
    <row r="54" spans="1:43" ht="13" customHeight="1" x14ac:dyDescent="0.15">
      <c r="A54" s="1">
        <v>44</v>
      </c>
      <c r="B54" s="45" t="s">
        <v>183</v>
      </c>
      <c r="C54" s="43" t="s">
        <v>184</v>
      </c>
      <c r="D54" s="43">
        <v>11316</v>
      </c>
      <c r="AK54" s="33" t="str">
        <f t="shared" si="0"/>
        <v>2021evt216</v>
      </c>
      <c r="AL54" s="36">
        <f>IF(S9=4,P9,(IF(S10=4,P10,(IF(S11=4,P11,(IF(S12=4,P12,)))))))</f>
        <v>0</v>
      </c>
      <c r="AM54" s="36">
        <f>IF(S9=4,Q9,(IF(S10=4,Q10,(IF(S11=4,Q11,(IF(S12=4,Q12,)))))))</f>
        <v>0</v>
      </c>
      <c r="AN54" s="37">
        <f>IF(S9=4,R9,(IF(S10=4,R10,(IF(S11=4,R11,(IF(S12=4,R12,)))))))</f>
        <v>0</v>
      </c>
      <c r="AO54" s="35">
        <v>41</v>
      </c>
      <c r="AP54" s="34">
        <f t="shared" si="14"/>
        <v>190</v>
      </c>
      <c r="AQ54" s="42">
        <f t="shared" si="15"/>
        <v>0</v>
      </c>
    </row>
    <row r="55" spans="1:43" ht="13" customHeight="1" x14ac:dyDescent="0.15">
      <c r="A55" s="1">
        <v>45</v>
      </c>
      <c r="B55" s="45" t="s">
        <v>185</v>
      </c>
      <c r="C55" s="43" t="s">
        <v>76</v>
      </c>
      <c r="D55" s="43">
        <v>9436</v>
      </c>
      <c r="AK55" s="33" t="str">
        <f t="shared" si="0"/>
        <v>2021evt216</v>
      </c>
      <c r="AL55" s="36">
        <f>IF(N9=4,K9,(IF(N10=4,K10,(IF(N11=4,K11,(IF(N12=4,K12,)))))))</f>
        <v>0</v>
      </c>
      <c r="AM55" s="36">
        <f>IF(N9=4,L9,(IF(N10=4,L10,(IF(N11=4,L11,(IF(N12=4,L12,)))))))</f>
        <v>0</v>
      </c>
      <c r="AN55" s="37">
        <f>IF(N9=4,M9,(IF(N10=4,M10,(IF(N11=4,M11,(IF(N12=4,M12,)))))))</f>
        <v>0</v>
      </c>
      <c r="AO55" s="35">
        <v>41</v>
      </c>
      <c r="AP55" s="34">
        <f t="shared" si="14"/>
        <v>190</v>
      </c>
      <c r="AQ55" s="42">
        <f t="shared" si="15"/>
        <v>0</v>
      </c>
    </row>
    <row r="56" spans="1:43" ht="13" customHeight="1" x14ac:dyDescent="0.15">
      <c r="A56" s="1">
        <v>46</v>
      </c>
      <c r="B56" s="52" t="s">
        <v>186</v>
      </c>
      <c r="C56" s="53" t="s">
        <v>94</v>
      </c>
      <c r="D56" s="53">
        <v>15229</v>
      </c>
      <c r="AK56" s="33" t="str">
        <f t="shared" si="0"/>
        <v>2021evt216</v>
      </c>
      <c r="AL56" s="36">
        <f>IF(I9=4,F9,(IF(I10=4,F10,(IF(I11=4,F11,(IF(I12=4,F12,)))))))</f>
        <v>0</v>
      </c>
      <c r="AM56" s="36">
        <f>IF(I9=4,G9,(IF(I10=4,G10,(IF(I11=4,G11,(IF(I12=4,G12,)))))))</f>
        <v>0</v>
      </c>
      <c r="AN56" s="37">
        <f>IF(I9=4,H9,(IF(I10=4,H10,(IF(I11=4,H11,(IF(I12=4,H12,)))))))</f>
        <v>0</v>
      </c>
      <c r="AO56" s="35">
        <v>41</v>
      </c>
      <c r="AP56" s="34">
        <f t="shared" si="14"/>
        <v>190</v>
      </c>
      <c r="AQ56" s="42">
        <f t="shared" si="15"/>
        <v>0</v>
      </c>
    </row>
    <row r="57" spans="1:43" ht="13" customHeight="1" x14ac:dyDescent="0.15">
      <c r="A57" s="1">
        <v>47</v>
      </c>
      <c r="B57" s="52" t="s">
        <v>187</v>
      </c>
      <c r="C57" s="53" t="s">
        <v>94</v>
      </c>
      <c r="D57" s="53">
        <v>15230</v>
      </c>
    </row>
    <row r="58" spans="1:43" ht="13" customHeight="1" x14ac:dyDescent="0.15">
      <c r="A58" s="1">
        <v>48</v>
      </c>
      <c r="C58" s="38"/>
      <c r="D58" s="17"/>
    </row>
    <row r="59" spans="1:43" ht="13" customHeight="1" x14ac:dyDescent="0.15">
      <c r="A59" s="1">
        <v>49</v>
      </c>
      <c r="B59" s="1">
        <v>49</v>
      </c>
      <c r="C59" s="13"/>
    </row>
    <row r="60" spans="1:43" ht="13" customHeight="1" x14ac:dyDescent="0.15">
      <c r="A60" s="1">
        <v>50</v>
      </c>
      <c r="B60" s="1">
        <v>50</v>
      </c>
      <c r="C60" s="13"/>
    </row>
    <row r="61" spans="1:43" ht="13" customHeight="1" x14ac:dyDescent="0.15">
      <c r="A61" s="1">
        <v>51</v>
      </c>
      <c r="B61" s="1">
        <v>51</v>
      </c>
      <c r="C61" s="13"/>
    </row>
    <row r="62" spans="1:43" ht="13" customHeight="1" x14ac:dyDescent="0.15">
      <c r="A62" s="1">
        <v>52</v>
      </c>
      <c r="B62" s="1">
        <v>52</v>
      </c>
      <c r="C62" s="13"/>
    </row>
    <row r="63" spans="1:43" ht="13" customHeight="1" x14ac:dyDescent="0.15">
      <c r="A63" s="1">
        <v>53</v>
      </c>
      <c r="B63" s="1">
        <v>53</v>
      </c>
      <c r="C63" s="13"/>
    </row>
    <row r="64" spans="1:43" ht="13" customHeight="1" x14ac:dyDescent="0.15">
      <c r="A64" s="1">
        <v>54</v>
      </c>
      <c r="B64" s="1">
        <v>54</v>
      </c>
      <c r="C64" s="13"/>
    </row>
    <row r="65" spans="1:3" ht="13" customHeight="1" x14ac:dyDescent="0.15">
      <c r="A65" s="1">
        <v>55</v>
      </c>
      <c r="B65" s="1">
        <v>55</v>
      </c>
      <c r="C65" s="13"/>
    </row>
    <row r="66" spans="1:3" ht="13" customHeight="1" x14ac:dyDescent="0.15">
      <c r="A66" s="1">
        <v>56</v>
      </c>
      <c r="B66" s="1">
        <v>56</v>
      </c>
      <c r="C66" s="13"/>
    </row>
    <row r="67" spans="1:3" ht="13" customHeight="1" x14ac:dyDescent="0.15">
      <c r="A67" s="1">
        <v>57</v>
      </c>
      <c r="B67" s="1">
        <v>57</v>
      </c>
      <c r="C67" s="13"/>
    </row>
    <row r="68" spans="1:3" ht="13" customHeight="1" x14ac:dyDescent="0.15">
      <c r="A68" s="1">
        <v>58</v>
      </c>
      <c r="B68" s="1">
        <v>58</v>
      </c>
      <c r="C68" s="13"/>
    </row>
    <row r="69" spans="1:3" ht="13" customHeight="1" x14ac:dyDescent="0.15">
      <c r="A69" s="1">
        <v>59</v>
      </c>
      <c r="B69" s="1">
        <v>59</v>
      </c>
      <c r="C69" s="13"/>
    </row>
    <row r="70" spans="1:3" ht="13" customHeight="1" x14ac:dyDescent="0.15">
      <c r="A70" s="1">
        <v>60</v>
      </c>
      <c r="B70" s="1">
        <v>60</v>
      </c>
      <c r="C70" s="13"/>
    </row>
    <row r="71" spans="1:3" ht="13" customHeight="1" x14ac:dyDescent="0.15">
      <c r="A71" s="1">
        <v>61</v>
      </c>
      <c r="B71" s="1">
        <v>61</v>
      </c>
      <c r="C71" s="13"/>
    </row>
    <row r="72" spans="1:3" ht="13" customHeight="1" x14ac:dyDescent="0.15">
      <c r="A72" s="1">
        <v>62</v>
      </c>
      <c r="B72" s="1">
        <v>62</v>
      </c>
      <c r="C72" s="13"/>
    </row>
    <row r="73" spans="1:3" ht="13" customHeight="1" x14ac:dyDescent="0.15">
      <c r="A73" s="1">
        <v>63</v>
      </c>
      <c r="B73" s="1">
        <v>63</v>
      </c>
      <c r="C73" s="13"/>
    </row>
    <row r="74" spans="1:3" ht="13" customHeight="1" x14ac:dyDescent="0.15">
      <c r="A74" s="1">
        <v>64</v>
      </c>
      <c r="B74" s="1">
        <v>64</v>
      </c>
      <c r="C74" s="13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orientation="portrait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1CF1D-FD22-B54E-812D-312B8F091C2B}">
  <dimension ref="A1:F48"/>
  <sheetViews>
    <sheetView topLeftCell="A24" zoomScale="160" zoomScaleNormal="160" workbookViewId="0">
      <selection activeCell="D49" sqref="D49"/>
    </sheetView>
  </sheetViews>
  <sheetFormatPr baseColWidth="10" defaultRowHeight="13" x14ac:dyDescent="0.2"/>
  <cols>
    <col min="2" max="2" width="4" bestFit="1" customWidth="1"/>
    <col min="3" max="3" width="4.1640625" bestFit="1" customWidth="1"/>
    <col min="4" max="4" width="15.1640625" bestFit="1" customWidth="1"/>
    <col min="5" max="5" width="4.83203125" bestFit="1" customWidth="1"/>
    <col min="6" max="6" width="6.1640625" bestFit="1" customWidth="1"/>
  </cols>
  <sheetData>
    <row r="1" spans="1:6" x14ac:dyDescent="0.2">
      <c r="A1" s="1" t="s">
        <v>117</v>
      </c>
      <c r="B1" s="38" t="s">
        <v>118</v>
      </c>
      <c r="C1" s="38">
        <v>83</v>
      </c>
      <c r="D1" t="s">
        <v>117</v>
      </c>
      <c r="E1" t="s">
        <v>118</v>
      </c>
      <c r="F1">
        <v>83</v>
      </c>
    </row>
    <row r="2" spans="1:6" x14ac:dyDescent="0.2">
      <c r="A2" s="1" t="s">
        <v>103</v>
      </c>
      <c r="B2" s="38" t="s">
        <v>74</v>
      </c>
      <c r="C2" s="38">
        <v>6314</v>
      </c>
      <c r="D2" t="s">
        <v>103</v>
      </c>
      <c r="E2" t="s">
        <v>74</v>
      </c>
      <c r="F2">
        <v>6314</v>
      </c>
    </row>
    <row r="3" spans="1:6" x14ac:dyDescent="0.2">
      <c r="A3" s="1" t="s">
        <v>73</v>
      </c>
      <c r="B3" s="38" t="s">
        <v>74</v>
      </c>
      <c r="C3" s="38">
        <v>2346</v>
      </c>
      <c r="D3" t="s">
        <v>73</v>
      </c>
      <c r="E3" t="s">
        <v>74</v>
      </c>
      <c r="F3">
        <v>2346</v>
      </c>
    </row>
    <row r="4" spans="1:6" x14ac:dyDescent="0.2">
      <c r="A4" s="1" t="s">
        <v>90</v>
      </c>
      <c r="B4" s="38" t="s">
        <v>72</v>
      </c>
      <c r="C4" s="38">
        <v>4698</v>
      </c>
      <c r="D4" t="s">
        <v>90</v>
      </c>
      <c r="E4" t="s">
        <v>72</v>
      </c>
      <c r="F4">
        <v>4698</v>
      </c>
    </row>
    <row r="5" spans="1:6" x14ac:dyDescent="0.2">
      <c r="A5" s="1" t="s">
        <v>122</v>
      </c>
      <c r="B5" s="38" t="s">
        <v>123</v>
      </c>
      <c r="C5" s="38">
        <v>1514</v>
      </c>
      <c r="D5" t="s">
        <v>122</v>
      </c>
      <c r="E5" t="s">
        <v>123</v>
      </c>
      <c r="F5">
        <v>1514</v>
      </c>
    </row>
    <row r="6" spans="1:6" x14ac:dyDescent="0.2">
      <c r="A6" s="1" t="s">
        <v>119</v>
      </c>
      <c r="B6" s="38" t="s">
        <v>74</v>
      </c>
      <c r="C6" s="38">
        <v>214</v>
      </c>
      <c r="D6" t="s">
        <v>119</v>
      </c>
      <c r="E6" t="s">
        <v>74</v>
      </c>
      <c r="F6">
        <v>214</v>
      </c>
    </row>
    <row r="7" spans="1:6" x14ac:dyDescent="0.2">
      <c r="A7" s="1" t="s">
        <v>113</v>
      </c>
      <c r="B7" s="38" t="s">
        <v>72</v>
      </c>
      <c r="C7" s="38">
        <v>6444</v>
      </c>
      <c r="D7" t="s">
        <v>113</v>
      </c>
      <c r="E7" t="s">
        <v>72</v>
      </c>
      <c r="F7">
        <v>6444</v>
      </c>
    </row>
    <row r="8" spans="1:6" x14ac:dyDescent="0.2">
      <c r="A8" s="1" t="s">
        <v>104</v>
      </c>
      <c r="B8" s="38" t="s">
        <v>100</v>
      </c>
      <c r="C8" s="38">
        <v>7071</v>
      </c>
      <c r="D8" t="s">
        <v>104</v>
      </c>
      <c r="E8" t="s">
        <v>100</v>
      </c>
      <c r="F8">
        <v>7071</v>
      </c>
    </row>
    <row r="9" spans="1:6" x14ac:dyDescent="0.2">
      <c r="A9" s="1" t="s">
        <v>108</v>
      </c>
      <c r="B9" s="38" t="s">
        <v>94</v>
      </c>
      <c r="C9" s="17">
        <v>6653</v>
      </c>
      <c r="D9" t="s">
        <v>108</v>
      </c>
      <c r="E9" t="s">
        <v>94</v>
      </c>
      <c r="F9">
        <v>6653</v>
      </c>
    </row>
    <row r="10" spans="1:6" x14ac:dyDescent="0.2">
      <c r="A10" s="1" t="s">
        <v>71</v>
      </c>
      <c r="B10" s="38" t="s">
        <v>72</v>
      </c>
      <c r="C10" s="38">
        <v>3126</v>
      </c>
      <c r="D10" t="s">
        <v>71</v>
      </c>
      <c r="E10" t="s">
        <v>72</v>
      </c>
      <c r="F10">
        <v>3126</v>
      </c>
    </row>
    <row r="11" spans="1:6" x14ac:dyDescent="0.2">
      <c r="A11" s="1" t="s">
        <v>107</v>
      </c>
      <c r="B11" s="38" t="s">
        <v>69</v>
      </c>
      <c r="C11" s="38">
        <v>4316</v>
      </c>
      <c r="D11" t="s">
        <v>107</v>
      </c>
      <c r="E11" t="s">
        <v>69</v>
      </c>
      <c r="F11">
        <v>4316</v>
      </c>
    </row>
    <row r="12" spans="1:6" x14ac:dyDescent="0.2">
      <c r="A12" s="1" t="s">
        <v>105</v>
      </c>
      <c r="B12" s="38" t="s">
        <v>69</v>
      </c>
      <c r="C12" s="38">
        <v>380</v>
      </c>
      <c r="D12" t="s">
        <v>105</v>
      </c>
      <c r="E12" t="s">
        <v>69</v>
      </c>
      <c r="F12">
        <v>380</v>
      </c>
    </row>
    <row r="13" spans="1:6" x14ac:dyDescent="0.2">
      <c r="A13" s="1" t="s">
        <v>101</v>
      </c>
      <c r="B13" s="38" t="s">
        <v>88</v>
      </c>
      <c r="C13" s="38">
        <v>397</v>
      </c>
      <c r="D13" t="s">
        <v>101</v>
      </c>
      <c r="E13" t="s">
        <v>88</v>
      </c>
      <c r="F13">
        <v>397</v>
      </c>
    </row>
    <row r="14" spans="1:6" x14ac:dyDescent="0.2">
      <c r="A14" s="1" t="s">
        <v>95</v>
      </c>
      <c r="B14" s="38" t="s">
        <v>72</v>
      </c>
      <c r="C14" s="38">
        <v>4696</v>
      </c>
      <c r="D14" t="s">
        <v>95</v>
      </c>
      <c r="E14" t="s">
        <v>72</v>
      </c>
      <c r="F14">
        <v>4696</v>
      </c>
    </row>
    <row r="15" spans="1:6" x14ac:dyDescent="0.2">
      <c r="A15" s="1" t="s">
        <v>98</v>
      </c>
      <c r="B15" s="38" t="s">
        <v>69</v>
      </c>
      <c r="C15" s="38">
        <v>1695</v>
      </c>
      <c r="D15" t="s">
        <v>98</v>
      </c>
      <c r="E15" t="s">
        <v>69</v>
      </c>
      <c r="F15">
        <v>1695</v>
      </c>
    </row>
    <row r="16" spans="1:6" x14ac:dyDescent="0.2">
      <c r="A16" s="1" t="s">
        <v>83</v>
      </c>
      <c r="B16" s="38" t="s">
        <v>76</v>
      </c>
      <c r="C16" s="38">
        <v>595</v>
      </c>
      <c r="D16" t="s">
        <v>83</v>
      </c>
      <c r="E16" t="s">
        <v>76</v>
      </c>
      <c r="F16">
        <v>595</v>
      </c>
    </row>
    <row r="17" spans="1:6" x14ac:dyDescent="0.2">
      <c r="A17" s="1" t="s">
        <v>114</v>
      </c>
      <c r="B17" s="38" t="s">
        <v>115</v>
      </c>
      <c r="C17" s="38">
        <v>3105</v>
      </c>
      <c r="D17" t="s">
        <v>114</v>
      </c>
      <c r="E17" t="s">
        <v>115</v>
      </c>
      <c r="F17">
        <v>3105</v>
      </c>
    </row>
    <row r="18" spans="1:6" x14ac:dyDescent="0.2">
      <c r="A18" s="1" t="s">
        <v>86</v>
      </c>
      <c r="B18" s="38" t="s">
        <v>69</v>
      </c>
      <c r="C18" s="38">
        <v>633</v>
      </c>
      <c r="D18" t="s">
        <v>86</v>
      </c>
      <c r="E18" t="s">
        <v>69</v>
      </c>
      <c r="F18">
        <v>633</v>
      </c>
    </row>
    <row r="19" spans="1:6" x14ac:dyDescent="0.2">
      <c r="A19" s="1" t="s">
        <v>127</v>
      </c>
      <c r="B19" s="38" t="s">
        <v>94</v>
      </c>
      <c r="C19" s="17">
        <v>13496</v>
      </c>
      <c r="D19" t="s">
        <v>127</v>
      </c>
      <c r="E19" t="s">
        <v>94</v>
      </c>
      <c r="F19">
        <v>13496</v>
      </c>
    </row>
    <row r="20" spans="1:6" x14ac:dyDescent="0.2">
      <c r="A20" s="1" t="s">
        <v>106</v>
      </c>
      <c r="B20" s="38" t="s">
        <v>74</v>
      </c>
      <c r="C20" s="17">
        <v>7427</v>
      </c>
      <c r="D20" t="s">
        <v>106</v>
      </c>
      <c r="E20" t="s">
        <v>74</v>
      </c>
      <c r="F20">
        <v>7427</v>
      </c>
    </row>
    <row r="21" spans="1:6" x14ac:dyDescent="0.2">
      <c r="A21" s="1" t="s">
        <v>102</v>
      </c>
      <c r="B21" s="38" t="s">
        <v>69</v>
      </c>
      <c r="C21" s="38">
        <v>731</v>
      </c>
      <c r="D21" t="s">
        <v>102</v>
      </c>
      <c r="E21" t="s">
        <v>69</v>
      </c>
      <c r="F21">
        <v>731</v>
      </c>
    </row>
    <row r="22" spans="1:6" x14ac:dyDescent="0.2">
      <c r="A22" s="1" t="s">
        <v>111</v>
      </c>
      <c r="B22" s="38" t="s">
        <v>76</v>
      </c>
      <c r="C22" s="17">
        <v>7960</v>
      </c>
      <c r="D22" t="s">
        <v>111</v>
      </c>
      <c r="E22" t="s">
        <v>76</v>
      </c>
      <c r="F22">
        <v>7960</v>
      </c>
    </row>
    <row r="23" spans="1:6" x14ac:dyDescent="0.2">
      <c r="A23" s="1" t="s">
        <v>89</v>
      </c>
      <c r="B23" s="38" t="s">
        <v>72</v>
      </c>
      <c r="C23" s="38">
        <v>1140</v>
      </c>
      <c r="D23" t="s">
        <v>89</v>
      </c>
      <c r="E23" t="s">
        <v>72</v>
      </c>
      <c r="F23">
        <v>1140</v>
      </c>
    </row>
    <row r="24" spans="1:6" x14ac:dyDescent="0.2">
      <c r="A24" s="1" t="s">
        <v>109</v>
      </c>
      <c r="B24" s="38" t="s">
        <v>74</v>
      </c>
      <c r="C24" s="38">
        <v>932</v>
      </c>
      <c r="D24" t="s">
        <v>109</v>
      </c>
      <c r="E24" t="s">
        <v>74</v>
      </c>
      <c r="F24">
        <v>932</v>
      </c>
    </row>
    <row r="25" spans="1:6" x14ac:dyDescent="0.2">
      <c r="A25" s="1" t="s">
        <v>91</v>
      </c>
      <c r="B25" s="38" t="s">
        <v>69</v>
      </c>
      <c r="C25" s="38">
        <v>2147</v>
      </c>
      <c r="D25" t="s">
        <v>91</v>
      </c>
      <c r="E25" t="s">
        <v>69</v>
      </c>
      <c r="F25">
        <v>2147</v>
      </c>
    </row>
    <row r="26" spans="1:6" x14ac:dyDescent="0.2">
      <c r="A26" s="1" t="s">
        <v>85</v>
      </c>
      <c r="B26" s="38" t="s">
        <v>74</v>
      </c>
      <c r="C26" s="38">
        <v>4945</v>
      </c>
      <c r="D26" t="s">
        <v>85</v>
      </c>
      <c r="E26" t="s">
        <v>74</v>
      </c>
      <c r="F26">
        <v>4945</v>
      </c>
    </row>
    <row r="27" spans="1:6" x14ac:dyDescent="0.2">
      <c r="A27" s="1" t="s">
        <v>121</v>
      </c>
      <c r="B27" s="38" t="s">
        <v>88</v>
      </c>
      <c r="C27" s="38">
        <v>2842</v>
      </c>
      <c r="D27" t="s">
        <v>121</v>
      </c>
      <c r="E27" t="s">
        <v>88</v>
      </c>
      <c r="F27">
        <v>2842</v>
      </c>
    </row>
    <row r="28" spans="1:6" x14ac:dyDescent="0.2">
      <c r="A28" s="1" t="s">
        <v>75</v>
      </c>
      <c r="B28" s="38" t="s">
        <v>76</v>
      </c>
      <c r="C28" s="38">
        <v>4388</v>
      </c>
      <c r="D28" t="s">
        <v>75</v>
      </c>
      <c r="E28" t="s">
        <v>76</v>
      </c>
      <c r="F28">
        <v>4388</v>
      </c>
    </row>
    <row r="29" spans="1:6" x14ac:dyDescent="0.2">
      <c r="A29" s="1" t="s">
        <v>84</v>
      </c>
      <c r="B29" s="38" t="s">
        <v>72</v>
      </c>
      <c r="C29" s="38">
        <v>299</v>
      </c>
      <c r="D29" t="s">
        <v>84</v>
      </c>
      <c r="E29" t="s">
        <v>72</v>
      </c>
      <c r="F29">
        <v>299</v>
      </c>
    </row>
    <row r="30" spans="1:6" x14ac:dyDescent="0.2">
      <c r="A30" s="1" t="s">
        <v>116</v>
      </c>
      <c r="B30" s="38" t="s">
        <v>88</v>
      </c>
      <c r="C30" s="17">
        <v>8239</v>
      </c>
      <c r="D30" t="s">
        <v>116</v>
      </c>
      <c r="E30" t="s">
        <v>88</v>
      </c>
      <c r="F30">
        <v>8239</v>
      </c>
    </row>
    <row r="31" spans="1:6" x14ac:dyDescent="0.2">
      <c r="A31" s="1" t="s">
        <v>87</v>
      </c>
      <c r="B31" s="38" t="s">
        <v>88</v>
      </c>
      <c r="C31" s="17">
        <v>6566</v>
      </c>
      <c r="D31" t="s">
        <v>87</v>
      </c>
      <c r="E31" t="s">
        <v>88</v>
      </c>
      <c r="F31">
        <v>6566</v>
      </c>
    </row>
    <row r="32" spans="1:6" x14ac:dyDescent="0.2">
      <c r="A32" s="1" t="s">
        <v>124</v>
      </c>
      <c r="B32" s="38" t="s">
        <v>72</v>
      </c>
      <c r="C32" s="38">
        <v>6791</v>
      </c>
      <c r="D32" t="s">
        <v>124</v>
      </c>
      <c r="E32" t="s">
        <v>72</v>
      </c>
      <c r="F32">
        <v>6791</v>
      </c>
    </row>
    <row r="33" spans="1:6" x14ac:dyDescent="0.2">
      <c r="A33" s="1" t="s">
        <v>93</v>
      </c>
      <c r="B33" s="38" t="s">
        <v>94</v>
      </c>
      <c r="C33" s="38">
        <v>499</v>
      </c>
      <c r="D33" t="s">
        <v>93</v>
      </c>
      <c r="E33" t="s">
        <v>94</v>
      </c>
      <c r="F33">
        <v>499</v>
      </c>
    </row>
    <row r="34" spans="1:6" x14ac:dyDescent="0.2">
      <c r="A34" s="1" t="s">
        <v>125</v>
      </c>
      <c r="B34" s="38" t="s">
        <v>69</v>
      </c>
      <c r="C34" s="38">
        <v>1274</v>
      </c>
      <c r="D34" t="s">
        <v>125</v>
      </c>
      <c r="E34" t="s">
        <v>69</v>
      </c>
      <c r="F34">
        <v>1274</v>
      </c>
    </row>
    <row r="35" spans="1:6" x14ac:dyDescent="0.2">
      <c r="A35" s="1" t="s">
        <v>80</v>
      </c>
      <c r="B35" s="38" t="s">
        <v>81</v>
      </c>
      <c r="C35" s="38">
        <v>3184</v>
      </c>
      <c r="D35" t="s">
        <v>80</v>
      </c>
      <c r="E35" t="s">
        <v>81</v>
      </c>
      <c r="F35">
        <v>3184</v>
      </c>
    </row>
    <row r="36" spans="1:6" x14ac:dyDescent="0.2">
      <c r="A36" s="1" t="s">
        <v>110</v>
      </c>
      <c r="B36" s="38" t="s">
        <v>69</v>
      </c>
      <c r="C36" s="38">
        <v>1289</v>
      </c>
      <c r="D36" s="39" t="s">
        <v>110</v>
      </c>
      <c r="E36" s="39" t="s">
        <v>69</v>
      </c>
      <c r="F36" s="39">
        <v>1514</v>
      </c>
    </row>
    <row r="37" spans="1:6" x14ac:dyDescent="0.2">
      <c r="A37" s="1" t="s">
        <v>77</v>
      </c>
      <c r="B37" s="38" t="s">
        <v>74</v>
      </c>
      <c r="C37" s="17">
        <v>8016</v>
      </c>
      <c r="D37" t="s">
        <v>77</v>
      </c>
      <c r="E37" t="s">
        <v>74</v>
      </c>
      <c r="F37">
        <v>8016</v>
      </c>
    </row>
    <row r="38" spans="1:6" x14ac:dyDescent="0.2">
      <c r="A38" s="1" t="s">
        <v>78</v>
      </c>
      <c r="B38" s="38" t="s">
        <v>74</v>
      </c>
      <c r="C38" s="38">
        <v>2298</v>
      </c>
      <c r="D38" t="s">
        <v>78</v>
      </c>
      <c r="E38" t="s">
        <v>74</v>
      </c>
      <c r="F38">
        <v>2298</v>
      </c>
    </row>
    <row r="39" spans="1:6" x14ac:dyDescent="0.2">
      <c r="A39" s="1" t="s">
        <v>96</v>
      </c>
      <c r="B39" s="38" t="s">
        <v>97</v>
      </c>
      <c r="C39" s="38">
        <v>4442</v>
      </c>
      <c r="D39" t="s">
        <v>96</v>
      </c>
      <c r="E39" t="s">
        <v>97</v>
      </c>
      <c r="F39">
        <v>4442</v>
      </c>
    </row>
    <row r="40" spans="1:6" x14ac:dyDescent="0.2">
      <c r="A40" s="1" t="s">
        <v>70</v>
      </c>
      <c r="B40" s="38" t="s">
        <v>69</v>
      </c>
      <c r="C40" s="38">
        <v>1493</v>
      </c>
      <c r="D40" t="s">
        <v>70</v>
      </c>
      <c r="E40" t="s">
        <v>69</v>
      </c>
      <c r="F40">
        <v>1493</v>
      </c>
    </row>
    <row r="41" spans="1:6" x14ac:dyDescent="0.2">
      <c r="A41" s="1" t="s">
        <v>112</v>
      </c>
      <c r="B41" s="38" t="s">
        <v>76</v>
      </c>
      <c r="C41" s="38">
        <v>6884</v>
      </c>
      <c r="D41" t="s">
        <v>112</v>
      </c>
      <c r="E41" t="s">
        <v>76</v>
      </c>
      <c r="F41">
        <v>6884</v>
      </c>
    </row>
    <row r="42" spans="1:6" x14ac:dyDescent="0.2">
      <c r="A42" s="1" t="s">
        <v>68</v>
      </c>
      <c r="B42" s="38" t="s">
        <v>69</v>
      </c>
      <c r="C42" s="38">
        <v>1541</v>
      </c>
      <c r="D42" t="s">
        <v>68</v>
      </c>
      <c r="E42" t="s">
        <v>69</v>
      </c>
      <c r="F42">
        <v>1541</v>
      </c>
    </row>
    <row r="43" spans="1:6" x14ac:dyDescent="0.2">
      <c r="A43" s="1" t="s">
        <v>92</v>
      </c>
      <c r="B43" s="38" t="s">
        <v>76</v>
      </c>
      <c r="C43" s="38">
        <v>6412</v>
      </c>
      <c r="D43" t="s">
        <v>92</v>
      </c>
      <c r="E43" t="s">
        <v>76</v>
      </c>
      <c r="F43">
        <v>6412</v>
      </c>
    </row>
    <row r="44" spans="1:6" x14ac:dyDescent="0.2">
      <c r="A44" s="1" t="s">
        <v>79</v>
      </c>
      <c r="B44" s="38" t="s">
        <v>74</v>
      </c>
      <c r="C44" s="38">
        <v>5680</v>
      </c>
      <c r="D44" t="s">
        <v>79</v>
      </c>
      <c r="E44" t="s">
        <v>74</v>
      </c>
      <c r="F44">
        <v>5680</v>
      </c>
    </row>
    <row r="45" spans="1:6" x14ac:dyDescent="0.2">
      <c r="A45" s="1" t="s">
        <v>120</v>
      </c>
      <c r="B45" s="38" t="s">
        <v>118</v>
      </c>
      <c r="C45" s="38">
        <v>3262</v>
      </c>
      <c r="D45" t="s">
        <v>120</v>
      </c>
      <c r="E45" t="s">
        <v>118</v>
      </c>
      <c r="F45">
        <v>3262</v>
      </c>
    </row>
    <row r="46" spans="1:6" x14ac:dyDescent="0.2">
      <c r="A46" s="1" t="s">
        <v>126</v>
      </c>
      <c r="B46" s="38" t="s">
        <v>69</v>
      </c>
      <c r="C46" s="38">
        <v>3252</v>
      </c>
      <c r="D46" t="s">
        <v>126</v>
      </c>
      <c r="E46" t="s">
        <v>69</v>
      </c>
      <c r="F46">
        <v>3252</v>
      </c>
    </row>
    <row r="47" spans="1:6" x14ac:dyDescent="0.2">
      <c r="A47" s="1" t="s">
        <v>99</v>
      </c>
      <c r="B47" s="38" t="s">
        <v>100</v>
      </c>
      <c r="C47" s="38">
        <v>2214</v>
      </c>
      <c r="D47" t="s">
        <v>99</v>
      </c>
      <c r="E47" t="s">
        <v>100</v>
      </c>
      <c r="F47">
        <v>2214</v>
      </c>
    </row>
    <row r="48" spans="1:6" x14ac:dyDescent="0.2">
      <c r="A48" s="1" t="s">
        <v>82</v>
      </c>
      <c r="B48" s="38" t="s">
        <v>76</v>
      </c>
      <c r="C48" s="38">
        <v>2038</v>
      </c>
      <c r="D48" t="s">
        <v>82</v>
      </c>
      <c r="E48" t="s">
        <v>76</v>
      </c>
      <c r="F48">
        <v>2038</v>
      </c>
    </row>
  </sheetData>
  <sortState xmlns:xlrd2="http://schemas.microsoft.com/office/spreadsheetml/2017/richdata2" ref="A1:C48">
    <sortCondition ref="A1"/>
  </sortState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Men1-4Star64Format4manheats</vt:lpstr>
      <vt:lpstr>Sheet1</vt:lpstr>
      <vt:lpstr>'Men1-4Star64Format4manheats'!Print_Area</vt:lpstr>
      <vt:lpstr>'Men1-4Star64Format4manheats'!Print_Titles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Nicolas Leroy</cp:lastModifiedBy>
  <cp:lastPrinted>2021-10-31T13:18:20Z</cp:lastPrinted>
  <dcterms:created xsi:type="dcterms:W3CDTF">1998-02-09T08:25:30Z</dcterms:created>
  <dcterms:modified xsi:type="dcterms:W3CDTF">2021-10-31T13:39:43Z</dcterms:modified>
</cp:coreProperties>
</file>